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EIUAFFL.CLI\withdrawal liability\2025\"/>
    </mc:Choice>
  </mc:AlternateContent>
  <xr:revisionPtr revIDLastSave="0" documentId="13_ncr:1_{5B3C506C-5C9C-4719-AA0E-686FA4821D6F}" xr6:coauthVersionLast="47" xr6:coauthVersionMax="47" xr10:uidLastSave="{00000000-0000-0000-0000-000000000000}"/>
  <workbookProtection workbookAlgorithmName="SHA-512" workbookHashValue="jIwzk6p0mZS5EQb6TMFnFdDqtCtg/B9LguXT4ZMTab8Pq51gob4TS+DK4fQ/MBm0T57/67uOCABlDsE5qyNTCg==" workbookSaltValue="0Ji+RhkqBDT5PmE/EA8U+Q==" workbookSpinCount="100000" lockStructure="1"/>
  <bookViews>
    <workbookView xWindow="-110" yWindow="-110" windowWidth="19420" windowHeight="10300" tabRatio="839" firstSheet="2" activeTab="2" xr2:uid="{00000000-000D-0000-FFFF-FFFF00000000}"/>
  </bookViews>
  <sheets>
    <sheet name="How to Update Spreadsheet" sheetId="5" state="hidden" r:id="rId1"/>
    <sheet name="Inputs" sheetId="2" state="hidden" r:id="rId2"/>
    <sheet name="Withdrawal Liability" sheetId="1" r:id="rId3"/>
    <sheet name="Payment Schedule" sheetId="3" state="hidden" r:id="rId4"/>
    <sheet name="Factor Table" sheetId="4" state="hidden" r:id="rId5"/>
  </sheets>
  <definedNames>
    <definedName name="_xlnm.Print_Area" localSheetId="4">'Factor Table'!$A$2:$F$31</definedName>
    <definedName name="_xlnm.Print_Area" localSheetId="0">'How to Update Spreadsheet'!$A$1:$L$28</definedName>
    <definedName name="_xlnm.Print_Area" localSheetId="1">Inputs!$A$10:$F$155</definedName>
    <definedName name="_xlnm.Print_Area" localSheetId="3">'Payment Schedule'!$A$2:$H$26</definedName>
    <definedName name="_xlnm.Print_Area" localSheetId="2">'Withdrawal Liability'!$A$2:$C$26</definedName>
    <definedName name="_xlnm.Print_Titles" localSheetId="1">Inputs!$2:$9</definedName>
    <definedName name="UnfundedPVVB">'How to Update Spreadsheet'!$D$8</definedName>
    <definedName name="WithdrawalYear">'How to Update Spreadsheet'!$D$7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20" i="1"/>
  <c r="A20" i="1"/>
  <c r="A10" i="1"/>
  <c r="C23" i="1" l="1"/>
  <c r="C24" i="1" s="1"/>
  <c r="C26" i="1" s="1"/>
  <c r="A153" i="2" l="1"/>
  <c r="A154" i="2"/>
  <c r="A149" i="2"/>
  <c r="A150" i="2"/>
  <c r="A3" i="1"/>
  <c r="D8" i="2" l="1"/>
  <c r="A3" i="2"/>
  <c r="E8" i="5"/>
  <c r="L67" i="3" l="1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66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31" i="3"/>
  <c r="L8" i="3" l="1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7" i="3"/>
  <c r="L6" i="3"/>
  <c r="D133" i="2" l="1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A2" i="2" l="1"/>
  <c r="A2" i="5" s="1"/>
  <c r="A2" i="4" l="1"/>
  <c r="D29" i="4"/>
  <c r="D11" i="4"/>
  <c r="G10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G6" i="3"/>
  <c r="G5" i="3"/>
  <c r="D9" i="4" l="1"/>
  <c r="D13" i="4"/>
  <c r="B10" i="4"/>
  <c r="B20" i="4"/>
  <c r="B12" i="4"/>
  <c r="D15" i="4"/>
  <c r="B14" i="4"/>
  <c r="D17" i="4"/>
  <c r="B16" i="4"/>
  <c r="B18" i="4"/>
  <c r="B9" i="4"/>
  <c r="B11" i="4"/>
  <c r="B13" i="4"/>
  <c r="B15" i="4"/>
  <c r="B17" i="4"/>
  <c r="B19" i="4"/>
  <c r="D10" i="4"/>
  <c r="D12" i="4"/>
  <c r="D14" i="4"/>
  <c r="D16" i="4"/>
  <c r="D18" i="4"/>
  <c r="B28" i="4"/>
  <c r="D19" i="4"/>
  <c r="B22" i="4"/>
  <c r="D20" i="4"/>
  <c r="B26" i="4"/>
  <c r="D22" i="4"/>
  <c r="B24" i="4"/>
  <c r="G8" i="3"/>
  <c r="G9" i="3" s="1"/>
  <c r="D24" i="4"/>
  <c r="D26" i="4"/>
  <c r="D28" i="4"/>
  <c r="B21" i="4"/>
  <c r="B23" i="4"/>
  <c r="B25" i="4"/>
  <c r="B27" i="4"/>
  <c r="B29" i="4"/>
  <c r="D21" i="4"/>
  <c r="D23" i="4"/>
  <c r="D25" i="4"/>
  <c r="D27" i="4"/>
  <c r="G11" i="3" l="1"/>
  <c r="A2" i="3"/>
  <c r="G12" i="3" l="1"/>
  <c r="B26" i="3" s="1"/>
  <c r="C15" i="1"/>
  <c r="F133" i="2"/>
  <c r="E133" i="2"/>
  <c r="F121" i="2"/>
  <c r="E121" i="2"/>
  <c r="F109" i="2"/>
  <c r="E109" i="2"/>
  <c r="F97" i="2"/>
  <c r="E97" i="2"/>
  <c r="F85" i="2"/>
  <c r="E85" i="2"/>
  <c r="A137" i="2" l="1"/>
  <c r="A138" i="2" s="1"/>
  <c r="A139" i="2" s="1"/>
  <c r="A140" i="2" s="1"/>
  <c r="A141" i="2" s="1"/>
  <c r="A142" i="2" s="1"/>
  <c r="A143" i="2" s="1"/>
  <c r="A144" i="2" s="1"/>
  <c r="A145" i="2" s="1"/>
  <c r="A146" i="2" s="1"/>
  <c r="F71" i="2" l="1"/>
  <c r="E71" i="2"/>
  <c r="F59" i="2"/>
  <c r="E59" i="2"/>
  <c r="F47" i="2"/>
  <c r="E47" i="2"/>
  <c r="F35" i="2"/>
  <c r="E35" i="2"/>
  <c r="F23" i="2"/>
  <c r="E23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J6" i="3" s="1"/>
  <c r="A11" i="1"/>
  <c r="A12" i="1" s="1"/>
  <c r="A13" i="1" s="1"/>
  <c r="A14" i="1" s="1"/>
  <c r="B15" i="1" l="1"/>
  <c r="A48" i="2"/>
  <c r="J7" i="3" s="1"/>
  <c r="A49" i="2" l="1"/>
  <c r="J8" i="3" s="1"/>
  <c r="A50" i="2" l="1"/>
  <c r="J9" i="3" s="1"/>
  <c r="A51" i="2" l="1"/>
  <c r="J10" i="3" s="1"/>
  <c r="G7" i="3" l="1"/>
  <c r="A52" i="2"/>
  <c r="J11" i="3" s="1"/>
  <c r="G13" i="3" l="1"/>
  <c r="G14" i="3" s="1"/>
  <c r="A53" i="2"/>
  <c r="J12" i="3" s="1"/>
  <c r="G16" i="3" l="1"/>
  <c r="G17" i="3" s="1"/>
  <c r="G15" i="3"/>
  <c r="A54" i="2"/>
  <c r="J13" i="3" s="1"/>
  <c r="G18" i="3" l="1"/>
  <c r="G19" i="3" s="1"/>
  <c r="A55" i="2"/>
  <c r="J14" i="3" s="1"/>
  <c r="G20" i="3" l="1"/>
  <c r="G21" i="3" s="1"/>
  <c r="D26" i="3" s="1"/>
  <c r="A56" i="2"/>
  <c r="J15" i="3" s="1"/>
  <c r="G22" i="3" l="1"/>
  <c r="G26" i="3" s="1"/>
  <c r="A57" i="2"/>
  <c r="J16" i="3" s="1"/>
  <c r="A58" i="2" l="1"/>
  <c r="J17" i="3" s="1"/>
  <c r="A59" i="2" l="1"/>
  <c r="J18" i="3" s="1"/>
  <c r="A60" i="2" l="1"/>
  <c r="J19" i="3" s="1"/>
  <c r="A61" i="2" l="1"/>
  <c r="J20" i="3" s="1"/>
  <c r="A62" i="2" l="1"/>
  <c r="J21" i="3" s="1"/>
  <c r="A63" i="2" l="1"/>
  <c r="J22" i="3" s="1"/>
  <c r="A64" i="2" l="1"/>
  <c r="J23" i="3" s="1"/>
  <c r="A65" i="2" l="1"/>
  <c r="J24" i="3" s="1"/>
  <c r="A66" i="2" l="1"/>
  <c r="J25" i="3" s="1"/>
  <c r="A67" i="2" l="1"/>
  <c r="J26" i="3" s="1"/>
  <c r="A68" i="2" l="1"/>
  <c r="J27" i="3" s="1"/>
  <c r="A69" i="2" l="1"/>
  <c r="J28" i="3" s="1"/>
  <c r="A70" i="2" l="1"/>
  <c r="J29" i="3" s="1"/>
  <c r="A71" i="2" l="1"/>
  <c r="J30" i="3" s="1"/>
  <c r="A74" i="2" l="1"/>
  <c r="J31" i="3" s="1"/>
  <c r="A75" i="2" l="1"/>
  <c r="J32" i="3" s="1"/>
  <c r="A76" i="2" l="1"/>
  <c r="J33" i="3" s="1"/>
  <c r="A77" i="2" l="1"/>
  <c r="J34" i="3" s="1"/>
  <c r="A78" i="2" l="1"/>
  <c r="J35" i="3" s="1"/>
  <c r="A79" i="2" l="1"/>
  <c r="J36" i="3" s="1"/>
  <c r="A80" i="2" l="1"/>
  <c r="J37" i="3" s="1"/>
  <c r="A81" i="2" l="1"/>
  <c r="J38" i="3" s="1"/>
  <c r="A82" i="2" l="1"/>
  <c r="J39" i="3" s="1"/>
  <c r="A83" i="2" l="1"/>
  <c r="J40" i="3" s="1"/>
  <c r="A84" i="2" l="1"/>
  <c r="J41" i="3" s="1"/>
  <c r="A85" i="2" l="1"/>
  <c r="J42" i="3" s="1"/>
  <c r="A86" i="2" l="1"/>
  <c r="J43" i="3" s="1"/>
  <c r="A87" i="2" l="1"/>
  <c r="J44" i="3" s="1"/>
  <c r="A88" i="2" l="1"/>
  <c r="J45" i="3" s="1"/>
  <c r="A89" i="2" l="1"/>
  <c r="J46" i="3" s="1"/>
  <c r="A90" i="2" l="1"/>
  <c r="J47" i="3" s="1"/>
  <c r="A91" i="2" l="1"/>
  <c r="J48" i="3" s="1"/>
  <c r="A92" i="2" l="1"/>
  <c r="J49" i="3" s="1"/>
  <c r="A93" i="2" l="1"/>
  <c r="J50" i="3" s="1"/>
  <c r="A94" i="2" l="1"/>
  <c r="J51" i="3" s="1"/>
  <c r="A95" i="2" l="1"/>
  <c r="J52" i="3" s="1"/>
  <c r="A96" i="2" l="1"/>
  <c r="J53" i="3" s="1"/>
  <c r="A97" i="2" l="1"/>
  <c r="J54" i="3" s="1"/>
  <c r="A98" i="2" l="1"/>
  <c r="J55" i="3" s="1"/>
  <c r="A99" i="2" l="1"/>
  <c r="J56" i="3" s="1"/>
  <c r="A100" i="2" l="1"/>
  <c r="J57" i="3" s="1"/>
  <c r="A101" i="2" l="1"/>
  <c r="J58" i="3" s="1"/>
  <c r="A102" i="2" l="1"/>
  <c r="J59" i="3" s="1"/>
  <c r="A103" i="2" l="1"/>
  <c r="J60" i="3" s="1"/>
  <c r="A104" i="2" l="1"/>
  <c r="J61" i="3" s="1"/>
  <c r="A105" i="2" l="1"/>
  <c r="J62" i="3" s="1"/>
  <c r="A106" i="2" l="1"/>
  <c r="J63" i="3" s="1"/>
  <c r="A107" i="2" l="1"/>
  <c r="J64" i="3" s="1"/>
  <c r="A108" i="2" l="1"/>
  <c r="J65" i="3" s="1"/>
  <c r="A109" i="2" l="1"/>
  <c r="J66" i="3" s="1"/>
  <c r="A110" i="2" l="1"/>
  <c r="J67" i="3" s="1"/>
  <c r="A111" i="2" l="1"/>
  <c r="J68" i="3" s="1"/>
  <c r="A112" i="2" l="1"/>
  <c r="J69" i="3" s="1"/>
  <c r="A113" i="2" l="1"/>
  <c r="J70" i="3" s="1"/>
  <c r="A114" i="2" l="1"/>
  <c r="J71" i="3" s="1"/>
  <c r="A115" i="2" l="1"/>
  <c r="J72" i="3" s="1"/>
  <c r="A116" i="2" l="1"/>
  <c r="J73" i="3" s="1"/>
  <c r="A117" i="2" l="1"/>
  <c r="J74" i="3" s="1"/>
  <c r="A118" i="2" l="1"/>
  <c r="J75" i="3" s="1"/>
  <c r="A119" i="2" l="1"/>
  <c r="J76" i="3" s="1"/>
  <c r="A120" i="2" l="1"/>
  <c r="J77" i="3" s="1"/>
  <c r="A121" i="2" l="1"/>
  <c r="J78" i="3" s="1"/>
  <c r="A122" i="2" l="1"/>
  <c r="J79" i="3" s="1"/>
  <c r="A123" i="2" l="1"/>
  <c r="J80" i="3" s="1"/>
  <c r="A124" i="2" l="1"/>
  <c r="J81" i="3" s="1"/>
  <c r="A125" i="2" l="1"/>
  <c r="J82" i="3" s="1"/>
  <c r="A126" i="2" l="1"/>
  <c r="J83" i="3" s="1"/>
  <c r="A127" i="2" l="1"/>
  <c r="J84" i="3" s="1"/>
  <c r="A128" i="2" l="1"/>
  <c r="J85" i="3" s="1"/>
  <c r="A129" i="2" l="1"/>
  <c r="J86" i="3" s="1"/>
  <c r="A130" i="2" l="1"/>
  <c r="J87" i="3" s="1"/>
  <c r="A131" i="2" l="1"/>
  <c r="J88" i="3" s="1"/>
  <c r="A132" i="2" l="1"/>
  <c r="J89" i="3" s="1"/>
  <c r="A133" i="2" l="1"/>
  <c r="J90" i="3" s="1"/>
</calcChain>
</file>

<file path=xl/sharedStrings.xml><?xml version="1.0" encoding="utf-8"?>
<sst xmlns="http://schemas.openxmlformats.org/spreadsheetml/2006/main" count="123" uniqueCount="105">
  <si>
    <t>Employer:</t>
  </si>
  <si>
    <t>Withdrawal Date:</t>
  </si>
  <si>
    <t>Plan Contributions</t>
  </si>
  <si>
    <t>5-Year total</t>
  </si>
  <si>
    <t>Payroll Date</t>
  </si>
  <si>
    <t>Reported Salaries</t>
  </si>
  <si>
    <t>Check Amount</t>
  </si>
  <si>
    <t>Contribution Rate</t>
  </si>
  <si>
    <t>INPUT ITEMS</t>
  </si>
  <si>
    <t>Employer</t>
  </si>
  <si>
    <t>Employer Contribution</t>
  </si>
  <si>
    <t>Plan Year Salary</t>
  </si>
  <si>
    <t>Employer Total</t>
  </si>
  <si>
    <t>Plan Year Contribution</t>
  </si>
  <si>
    <t>Plan Year</t>
  </si>
  <si>
    <t xml:space="preserve">SEIU Affiliates Officers and Employees Pension Plan (United States) </t>
  </si>
  <si>
    <t>(a)</t>
  </si>
  <si>
    <t>(b)</t>
  </si>
  <si>
    <t>Withdrawal Date</t>
  </si>
  <si>
    <t>(c)</t>
  </si>
  <si>
    <t>(d)</t>
  </si>
  <si>
    <t>(e)</t>
  </si>
  <si>
    <t>(f)</t>
  </si>
  <si>
    <t>Highest contribution rate prior to termination</t>
  </si>
  <si>
    <t>(g)</t>
  </si>
  <si>
    <t>(p)</t>
  </si>
  <si>
    <t>(q)</t>
  </si>
  <si>
    <t>(h)</t>
  </si>
  <si>
    <t>(i)</t>
  </si>
  <si>
    <t>(j)</t>
  </si>
  <si>
    <t>(k)</t>
  </si>
  <si>
    <t>(l)</t>
  </si>
  <si>
    <t>(m)</t>
  </si>
  <si>
    <t>(n)</t>
  </si>
  <si>
    <t>(o)</t>
  </si>
  <si>
    <t>De minimis Deductible (ERISA §4209)</t>
  </si>
  <si>
    <t>Highest consecutive three-year payroll</t>
  </si>
  <si>
    <t>36-Month Payroll</t>
  </si>
  <si>
    <t>Withdrawal Liability Payment Schedule Calculation Factors</t>
  </si>
  <si>
    <t>Column I</t>
  </si>
  <si>
    <t>Column II</t>
  </si>
  <si>
    <t>Number</t>
  </si>
  <si>
    <t>Present Value</t>
  </si>
  <si>
    <t>Accumulation</t>
  </si>
  <si>
    <t>of Years</t>
  </si>
  <si>
    <t>of $1 Per Year</t>
  </si>
  <si>
    <t>of $1</t>
  </si>
  <si>
    <t>Annual Interest Rate:</t>
  </si>
  <si>
    <t xml:space="preserve">per quarter for </t>
  </si>
  <si>
    <t xml:space="preserve">quarters plus a final payment of </t>
  </si>
  <si>
    <t>36-Month Period</t>
  </si>
  <si>
    <t>Estimated Withdrawal Liability Payment Schedule Calculation</t>
  </si>
  <si>
    <t xml:space="preserve">Employer's Estimated Withdrawal Liability Assessment </t>
  </si>
  <si>
    <t>Estimated Employer Payment Schedule:</t>
  </si>
  <si>
    <t>Estimated Withdrawal Liability Assessment</t>
  </si>
  <si>
    <t>Percent of Salary</t>
  </si>
  <si>
    <t>Number of Months</t>
  </si>
  <si>
    <t>Quarterly payment = (g) / 4</t>
  </si>
  <si>
    <t>Amortization ratio = (c) / (g)</t>
  </si>
  <si>
    <t>Largest value in Factor Table Column I that is less than (i)</t>
  </si>
  <si>
    <t>Number of years in (d)</t>
  </si>
  <si>
    <t>Required annual payment = (d) / (e) * (f)</t>
  </si>
  <si>
    <t>Number of years for value (j)</t>
  </si>
  <si>
    <t>Amount left to amortize = (c) - (l)</t>
  </si>
  <si>
    <t>Factor Table Column II value for (k) years</t>
  </si>
  <si>
    <t>Amount to amortize in final year = (m) * (n); 0 if (k) = 20</t>
  </si>
  <si>
    <t>Full quarters to pay in final year = (o) / (h)</t>
  </si>
  <si>
    <t>Number of full quarterly payments = [4 * (k)] + (p)</t>
  </si>
  <si>
    <t>(r)</t>
  </si>
  <si>
    <t>Amount to pay in final quarter = (o) - [(h) * (p)]</t>
  </si>
  <si>
    <t>Employer Contributions</t>
  </si>
  <si>
    <t>Test Case</t>
  </si>
  <si>
    <t>Error Check</t>
  </si>
  <si>
    <t>Inputs Tab</t>
  </si>
  <si>
    <t>Withdrawal Liability Tab</t>
  </si>
  <si>
    <t>Payment Schedule Tab</t>
  </si>
  <si>
    <t>Withdrawal Liability Worksheets</t>
  </si>
  <si>
    <t>Instructions on How to Update This Workbook</t>
  </si>
  <si>
    <t>To Finalize</t>
  </si>
  <si>
    <t>Amount amortized in (k) years = (g) * (j)</t>
  </si>
  <si>
    <r>
      <rPr>
        <b/>
        <i/>
        <sz val="10"/>
        <color theme="3"/>
        <rFont val="Arial"/>
        <family val="2"/>
      </rPr>
      <t>Reminder:</t>
    </r>
    <r>
      <rPr>
        <i/>
        <sz val="10"/>
        <color theme="3"/>
        <rFont val="Arial"/>
        <family val="2"/>
      </rPr>
      <t xml:space="preserve"> Formula in Cells J31, K31, L31, J66, K66, and L66 are adjusted for break on Inputs Tab in rows 72 and 73</t>
    </r>
  </si>
  <si>
    <t>Amount Due</t>
  </si>
  <si>
    <t>Employer's Allocated UVB (before ERISA §4209)</t>
  </si>
  <si>
    <t xml:space="preserve">   (per Plan Document Section 12.03(c))</t>
  </si>
  <si>
    <t>Anticipated Claims for Prior Withdrawals</t>
  </si>
  <si>
    <t>Update the withdrawal date in Cell B8</t>
  </si>
  <si>
    <t>Update test salary and contribution amounts in columns B and C to make sure the contribution rate is approriate in each year</t>
  </si>
  <si>
    <t>Factor Table Tab</t>
  </si>
  <si>
    <t>This Tab</t>
  </si>
  <si>
    <t>Input the applicable year here:</t>
  </si>
  <si>
    <t xml:space="preserve"> (i.e., applicable for withdrawals during this year)</t>
  </si>
  <si>
    <r>
      <t xml:space="preserve">Update contribution rate inputs in Cells B137-B146. </t>
    </r>
    <r>
      <rPr>
        <u/>
        <sz val="10"/>
        <color theme="1"/>
        <rFont val="Arial"/>
        <family val="2"/>
      </rPr>
      <t>CR history</t>
    </r>
    <r>
      <rPr>
        <sz val="10"/>
        <color theme="1"/>
        <rFont val="Arial"/>
        <family val="2"/>
      </rPr>
      <t>: 14% in 2012, 16% in 2013, 18% in 2014, 20% in 2015-2017, 21% in 2018+</t>
    </r>
  </si>
  <si>
    <t>Input the unfunded PVVB here:</t>
  </si>
  <si>
    <t>No updates needed on this tab</t>
  </si>
  <si>
    <t>Confirm or update interest rate in Cell C31</t>
  </si>
  <si>
    <t>Update Cells C10-C14 (pulled from Schedule MBs)</t>
  </si>
  <si>
    <r>
      <t>Protect all other tabs except for the Input Items on "</t>
    </r>
    <r>
      <rPr>
        <i/>
        <sz val="10"/>
        <color theme="1"/>
        <rFont val="Arial"/>
        <family val="2"/>
      </rPr>
      <t>Inputs</t>
    </r>
    <r>
      <rPr>
        <sz val="10"/>
        <color theme="1"/>
        <rFont val="Arial"/>
        <family val="2"/>
      </rPr>
      <t>" tab</t>
    </r>
  </si>
  <si>
    <r>
      <rPr>
        <u/>
        <sz val="10"/>
        <color theme="1"/>
        <rFont val="Arial"/>
        <family val="2"/>
      </rPr>
      <t>Hide</t>
    </r>
    <r>
      <rPr>
        <sz val="10"/>
        <color theme="1"/>
        <rFont val="Arial"/>
        <family val="2"/>
      </rPr>
      <t xml:space="preserve"> this "</t>
    </r>
    <r>
      <rPr>
        <i/>
        <sz val="10"/>
        <color theme="1"/>
        <rFont val="Arial"/>
        <family val="2"/>
      </rPr>
      <t>How to Update Spreadsheet</t>
    </r>
    <r>
      <rPr>
        <sz val="10"/>
        <color theme="1"/>
        <rFont val="Arial"/>
        <family val="2"/>
      </rPr>
      <t>" Tab</t>
    </r>
  </si>
  <si>
    <t xml:space="preserve"> Anticipated Claims for Prior Withdrawals: </t>
  </si>
  <si>
    <r>
      <t xml:space="preserve"> Contributions Made by Prior "</t>
    </r>
    <r>
      <rPr>
        <b/>
        <u/>
        <sz val="10"/>
        <color theme="1"/>
        <rFont val="Arial"/>
        <family val="2"/>
      </rPr>
      <t>Significant</t>
    </r>
    <r>
      <rPr>
        <b/>
        <sz val="10"/>
        <color theme="1"/>
        <rFont val="Arial"/>
        <family val="2"/>
      </rPr>
      <t>" Withdrawals:</t>
    </r>
  </si>
  <si>
    <t>Contributions Made by Prior "Significant" Withdrawals</t>
  </si>
  <si>
    <t xml:space="preserve">   (per Plan Document Sections 12.03(c)(2)(B) and 12.03(d))</t>
  </si>
  <si>
    <r>
      <t xml:space="preserve">Ratio of Employer to Plan Contributions </t>
    </r>
    <r>
      <rPr>
        <i/>
        <sz val="10"/>
        <color theme="1"/>
        <rFont val="Arial"/>
        <family val="2"/>
      </rPr>
      <t>less</t>
    </r>
    <r>
      <rPr>
        <sz val="10"/>
        <color theme="1"/>
        <rFont val="Arial"/>
        <family val="2"/>
      </rPr>
      <t xml:space="preserve"> Prior "Significant" Withdrawals</t>
    </r>
  </si>
  <si>
    <t>Employer's Contributions</t>
  </si>
  <si>
    <t xml:space="preserve">   (before ERISA §4206, §4219(c)(1)(B), and §4225)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</si>
</sst>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  <numFmt numFmtId="165" formatCode="0.0000000000%"/>
    <numFmt numFmtId="166" formatCode="&quot;$&quot;#,##0"/>
    <numFmt numFmtId="167" formatCode="&quot;$&quot;#,##0.00"/>
    <numFmt numFmtId="168" formatCode="0.0%"/>
    <numFmt numFmtId="169" formatCode="_(* #,##0.000000_);_(* \(#,##0.000000\);_(* &quot;-&quot;??????_);_(@_)"/>
    <numFmt numFmtId="170" formatCode="_(* #,##0_);_(* \(#,##0\);_(* &quot;-&quot;??_);_(@_)"/>
    <numFmt numFmtId="171" formatCode="0.000000"/>
    <numFmt numFmtId="172" formatCode="#,##0.000000_);[Red]\(#,##0.000000\)"/>
    <numFmt numFmtId="173" formatCode="#,##0.000000_);\(#,##0.000000\)"/>
    <numFmt numFmtId="174" formatCode="0.0000"/>
    <numFmt numFmtId="175" formatCode="0.00000000%"/>
    <numFmt numFmtId="176" formatCode="_(&quot;$&quot;* #,##0_);_(&quot;$&quot;* \(#,##0\);_(&quot;$&quot;* &quot;-&quot;??_);_(@_)"/>
  </numFmts>
  <fonts count="1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sz val="11"/>
      <color theme="1"/>
      <name val="Arial"/>
      <family val="2"/>
    </font>
    <font>
      <b/>
      <sz val="10"/>
      <color rgb="FFC00000"/>
      <name val="Arial"/>
      <family val="2"/>
    </font>
    <font>
      <i/>
      <sz val="10"/>
      <color theme="3"/>
      <name val="Arial"/>
      <family val="2"/>
    </font>
    <font>
      <b/>
      <i/>
      <sz val="10"/>
      <color theme="3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6" fontId="1" fillId="0" borderId="0" xfId="0" applyNumberFormat="1" applyFont="1" applyAlignment="1">
      <alignment horizontal="right"/>
    </xf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168" fontId="0" fillId="2" borderId="0" xfId="1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right"/>
    </xf>
    <xf numFmtId="10" fontId="0" fillId="0" borderId="0" xfId="0" applyNumberFormat="1"/>
    <xf numFmtId="166" fontId="3" fillId="0" borderId="0" xfId="0" applyNumberFormat="1" applyFont="1"/>
    <xf numFmtId="43" fontId="0" fillId="0" borderId="0" xfId="2" applyFont="1"/>
    <xf numFmtId="43" fontId="6" fillId="0" borderId="0" xfId="2" applyFont="1"/>
    <xf numFmtId="43" fontId="7" fillId="0" borderId="0" xfId="2" applyFont="1"/>
    <xf numFmtId="44" fontId="7" fillId="0" borderId="0" xfId="3" applyFont="1"/>
    <xf numFmtId="43" fontId="7" fillId="0" borderId="0" xfId="2" applyFont="1" applyBorder="1"/>
    <xf numFmtId="4" fontId="0" fillId="0" borderId="0" xfId="0" applyNumberFormat="1"/>
    <xf numFmtId="0" fontId="8" fillId="0" borderId="0" xfId="0" applyFont="1"/>
    <xf numFmtId="43" fontId="7" fillId="0" borderId="0" xfId="2" applyFont="1" applyAlignment="1">
      <alignment horizontal="right"/>
    </xf>
    <xf numFmtId="0" fontId="7" fillId="0" borderId="0" xfId="0" applyFont="1"/>
    <xf numFmtId="171" fontId="0" fillId="0" borderId="0" xfId="0" applyNumberFormat="1" applyAlignment="1">
      <alignment horizontal="center"/>
    </xf>
    <xf numFmtId="171" fontId="0" fillId="0" borderId="0" xfId="0" applyNumberFormat="1"/>
    <xf numFmtId="0" fontId="4" fillId="0" borderId="0" xfId="0" applyFont="1" applyAlignment="1">
      <alignment horizontal="right"/>
    </xf>
    <xf numFmtId="173" fontId="0" fillId="0" borderId="0" xfId="2" applyNumberFormat="1" applyFont="1"/>
    <xf numFmtId="172" fontId="0" fillId="0" borderId="0" xfId="2" applyNumberFormat="1" applyFont="1"/>
    <xf numFmtId="0" fontId="4" fillId="0" borderId="0" xfId="0" applyFont="1" applyAlignment="1">
      <alignment horizontal="left"/>
    </xf>
    <xf numFmtId="43" fontId="0" fillId="0" borderId="0" xfId="2" applyFont="1" applyFill="1"/>
    <xf numFmtId="173" fontId="7" fillId="0" borderId="0" xfId="2" applyNumberFormat="1" applyFont="1" applyFill="1" applyAlignment="1">
      <alignment horizontal="right"/>
    </xf>
    <xf numFmtId="169" fontId="7" fillId="0" borderId="0" xfId="2" applyNumberFormat="1" applyFont="1" applyFill="1" applyAlignment="1">
      <alignment horizontal="right"/>
    </xf>
    <xf numFmtId="171" fontId="7" fillId="0" borderId="0" xfId="2" applyNumberFormat="1" applyFont="1" applyFill="1" applyAlignment="1">
      <alignment horizontal="right"/>
    </xf>
    <xf numFmtId="43" fontId="4" fillId="0" borderId="0" xfId="2" applyFont="1"/>
    <xf numFmtId="170" fontId="7" fillId="0" borderId="0" xfId="2" applyNumberFormat="1" applyFont="1" applyFill="1" applyAlignment="1">
      <alignment horizontal="right"/>
    </xf>
    <xf numFmtId="43" fontId="0" fillId="0" borderId="0" xfId="2" applyFont="1" applyBorder="1"/>
    <xf numFmtId="37" fontId="7" fillId="0" borderId="1" xfId="2" applyNumberFormat="1" applyFont="1" applyBorder="1" applyAlignment="1">
      <alignment horizontal="center"/>
    </xf>
    <xf numFmtId="10" fontId="7" fillId="0" borderId="0" xfId="1" applyNumberFormat="1" applyFont="1" applyAlignment="1">
      <alignment horizontal="right"/>
    </xf>
    <xf numFmtId="14" fontId="7" fillId="0" borderId="0" xfId="2" applyNumberFormat="1" applyFont="1" applyAlignment="1"/>
    <xf numFmtId="10" fontId="4" fillId="0" borderId="0" xfId="1" applyNumberFormat="1" applyFont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0" fillId="2" borderId="6" xfId="0" applyNumberForma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9" fontId="0" fillId="0" borderId="7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3" fontId="6" fillId="0" borderId="0" xfId="2" applyNumberFormat="1" applyFont="1"/>
    <xf numFmtId="13" fontId="0" fillId="0" borderId="0" xfId="2" applyNumberFormat="1" applyFont="1"/>
    <xf numFmtId="9" fontId="1" fillId="0" borderId="6" xfId="1" applyFont="1" applyBorder="1" applyAlignment="1">
      <alignment horizontal="center"/>
    </xf>
    <xf numFmtId="9" fontId="1" fillId="0" borderId="6" xfId="1" applyFont="1" applyFill="1" applyBorder="1" applyAlignment="1">
      <alignment horizontal="center"/>
    </xf>
    <xf numFmtId="9" fontId="0" fillId="0" borderId="0" xfId="1" applyFont="1" applyAlignment="1">
      <alignment horizontal="left"/>
    </xf>
    <xf numFmtId="9" fontId="2" fillId="0" borderId="0" xfId="1" applyFont="1" applyAlignment="1">
      <alignment horizontal="center"/>
    </xf>
    <xf numFmtId="0" fontId="10" fillId="0" borderId="0" xfId="0" applyFont="1"/>
    <xf numFmtId="0" fontId="11" fillId="0" borderId="0" xfId="0" applyFont="1"/>
    <xf numFmtId="174" fontId="7" fillId="0" borderId="0" xfId="2" applyNumberFormat="1" applyFont="1" applyFill="1" applyAlignment="1">
      <alignment horizontal="right"/>
    </xf>
    <xf numFmtId="167" fontId="4" fillId="0" borderId="0" xfId="0" applyNumberFormat="1" applyFont="1" applyAlignment="1">
      <alignment horizontal="center"/>
    </xf>
    <xf numFmtId="0" fontId="3" fillId="0" borderId="0" xfId="0" applyFont="1"/>
    <xf numFmtId="0" fontId="12" fillId="0" borderId="0" xfId="0" applyFont="1"/>
    <xf numFmtId="175" fontId="0" fillId="0" borderId="0" xfId="0" applyNumberFormat="1" applyAlignment="1">
      <alignment horizontal="right"/>
    </xf>
    <xf numFmtId="166" fontId="0" fillId="2" borderId="0" xfId="0" applyNumberFormat="1" applyFill="1" applyAlignment="1">
      <alignment horizontal="center"/>
    </xf>
    <xf numFmtId="176" fontId="7" fillId="0" borderId="0" xfId="3" applyNumberFormat="1" applyFont="1" applyAlignment="1">
      <alignment horizontal="right"/>
    </xf>
    <xf numFmtId="176" fontId="7" fillId="0" borderId="0" xfId="3" applyNumberFormat="1" applyFont="1"/>
    <xf numFmtId="176" fontId="7" fillId="0" borderId="0" xfId="3" applyNumberFormat="1" applyFont="1" applyFill="1" applyAlignment="1">
      <alignment horizontal="right"/>
    </xf>
    <xf numFmtId="176" fontId="7" fillId="0" borderId="1" xfId="3" applyNumberFormat="1" applyFont="1" applyFill="1" applyBorder="1" applyAlignment="1">
      <alignment horizontal="right"/>
    </xf>
    <xf numFmtId="168" fontId="0" fillId="0" borderId="6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center"/>
    </xf>
    <xf numFmtId="168" fontId="1" fillId="0" borderId="6" xfId="1" applyNumberFormat="1" applyFont="1" applyBorder="1" applyAlignment="1">
      <alignment horizontal="center"/>
    </xf>
    <xf numFmtId="168" fontId="1" fillId="0" borderId="6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4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center"/>
      <protection locked="0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1">
    <dxf>
      <font>
        <b/>
        <i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E29"/>
  <sheetViews>
    <sheetView zoomScaleNormal="100" workbookViewId="0">
      <selection activeCell="A11" sqref="A11"/>
    </sheetView>
  </sheetViews>
  <sheetFormatPr defaultRowHeight="12.5" x14ac:dyDescent="0.25"/>
  <cols>
    <col min="4" max="4" width="14.26953125" customWidth="1"/>
  </cols>
  <sheetData>
    <row r="2" spans="1:5" ht="15.5" x14ac:dyDescent="0.35">
      <c r="A2" s="32" t="str">
        <f>+Inputs!A2</f>
        <v xml:space="preserve">SEIU Affiliates Officers and Employees Pension Plan (United States) </v>
      </c>
    </row>
    <row r="3" spans="1:5" ht="14" x14ac:dyDescent="0.3">
      <c r="A3" s="77" t="s">
        <v>76</v>
      </c>
    </row>
    <row r="4" spans="1:5" ht="14" x14ac:dyDescent="0.3">
      <c r="A4" s="77" t="s">
        <v>77</v>
      </c>
    </row>
    <row r="6" spans="1:5" ht="13" x14ac:dyDescent="0.3">
      <c r="A6" s="3" t="s">
        <v>88</v>
      </c>
    </row>
    <row r="7" spans="1:5" x14ac:dyDescent="0.25">
      <c r="A7" t="s">
        <v>89</v>
      </c>
      <c r="D7" s="93">
        <v>2025</v>
      </c>
      <c r="E7" t="s">
        <v>90</v>
      </c>
    </row>
    <row r="8" spans="1:5" x14ac:dyDescent="0.25">
      <c r="A8" t="s">
        <v>92</v>
      </c>
      <c r="D8" s="84">
        <v>146800029</v>
      </c>
      <c r="E8" t="str">
        <f>" (from the January 1, "&amp;$D$7&amp;" Valuation Report)"</f>
        <v xml:space="preserve"> (from the January 1, 2025 Valuation Report)</v>
      </c>
    </row>
    <row r="10" spans="1:5" ht="13" x14ac:dyDescent="0.3">
      <c r="A10" s="3" t="s">
        <v>73</v>
      </c>
    </row>
    <row r="11" spans="1:5" x14ac:dyDescent="0.25">
      <c r="A11" t="s">
        <v>85</v>
      </c>
    </row>
    <row r="12" spans="1:5" x14ac:dyDescent="0.25">
      <c r="A12" t="s">
        <v>91</v>
      </c>
    </row>
    <row r="13" spans="1:5" x14ac:dyDescent="0.25">
      <c r="A13" t="s">
        <v>86</v>
      </c>
    </row>
    <row r="15" spans="1:5" ht="13" x14ac:dyDescent="0.3">
      <c r="A15" s="3" t="s">
        <v>74</v>
      </c>
    </row>
    <row r="16" spans="1:5" x14ac:dyDescent="0.25">
      <c r="A16" t="s">
        <v>95</v>
      </c>
    </row>
    <row r="18" spans="1:1" ht="13" x14ac:dyDescent="0.3">
      <c r="A18" s="3" t="s">
        <v>75</v>
      </c>
    </row>
    <row r="19" spans="1:1" x14ac:dyDescent="0.25">
      <c r="A19" t="s">
        <v>93</v>
      </c>
    </row>
    <row r="20" spans="1:1" ht="13" x14ac:dyDescent="0.3">
      <c r="A20" s="82" t="s">
        <v>80</v>
      </c>
    </row>
    <row r="22" spans="1:1" ht="13" x14ac:dyDescent="0.3">
      <c r="A22" s="3" t="s">
        <v>87</v>
      </c>
    </row>
    <row r="23" spans="1:1" x14ac:dyDescent="0.25">
      <c r="A23" t="s">
        <v>94</v>
      </c>
    </row>
    <row r="25" spans="1:1" ht="13" x14ac:dyDescent="0.3">
      <c r="A25" s="78" t="s">
        <v>78</v>
      </c>
    </row>
    <row r="26" spans="1:1" ht="13" x14ac:dyDescent="0.3">
      <c r="A26" t="s">
        <v>97</v>
      </c>
    </row>
    <row r="27" spans="1:1" ht="13" x14ac:dyDescent="0.3">
      <c r="A27" t="s">
        <v>96</v>
      </c>
    </row>
    <row r="29" spans="1:1" x14ac:dyDescent="0.25">
      <c r="A29" s="81"/>
    </row>
  </sheetData>
  <pageMargins left="0.25" right="0.25" top="0.75" bottom="0.75" header="0.3" footer="0.3"/>
  <pageSetup orientation="landscape" verticalDpi="1200" r:id="rId1"/>
  <headerFooter>
    <oddFooter>&amp;L&amp;Z&amp;F!&amp;A&amp;R&amp;D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163"/>
  <sheetViews>
    <sheetView zoomScaleNormal="100" workbookViewId="0">
      <selection activeCell="B145" sqref="B145"/>
    </sheetView>
  </sheetViews>
  <sheetFormatPr defaultRowHeight="12.5" x14ac:dyDescent="0.25"/>
  <cols>
    <col min="1" max="1" width="18.7265625" style="1" customWidth="1"/>
    <col min="2" max="2" width="22.54296875" style="1" customWidth="1"/>
    <col min="3" max="3" width="22.26953125" style="1" customWidth="1"/>
    <col min="4" max="4" width="22.26953125" style="19" customWidth="1"/>
    <col min="5" max="5" width="20.453125" style="1" customWidth="1"/>
    <col min="6" max="6" width="24.453125" style="1" customWidth="1"/>
    <col min="7" max="7" width="3.453125" style="1" customWidth="1"/>
    <col min="8" max="8" width="10.453125" style="1" customWidth="1"/>
    <col min="9" max="9" width="17" style="1" bestFit="1" customWidth="1"/>
    <col min="10" max="10" width="18.81640625" customWidth="1"/>
    <col min="11" max="11" width="3.453125" style="1" customWidth="1"/>
    <col min="12" max="12" width="23" style="1" customWidth="1"/>
    <col min="13" max="13" width="18.1796875" style="1" customWidth="1"/>
  </cols>
  <sheetData>
    <row r="2" spans="1:13" ht="15.5" x14ac:dyDescent="0.35">
      <c r="A2" s="32" t="str">
        <f>+'Withdrawal Liability'!A2</f>
        <v xml:space="preserve">SEIU Affiliates Officers and Employees Pension Plan (United States) </v>
      </c>
    </row>
    <row r="3" spans="1:13" ht="15.5" x14ac:dyDescent="0.35">
      <c r="A3" s="32" t="str">
        <f>"Withdrawal Liability Calculation Input Items for Withdrawals in "&amp;WithdrawalYear</f>
        <v>Withdrawal Liability Calculation Input Items for Withdrawals in 2025</v>
      </c>
    </row>
    <row r="4" spans="1:13" ht="13" thickBot="1" x14ac:dyDescent="0.3"/>
    <row r="5" spans="1:13" ht="13.5" thickBot="1" x14ac:dyDescent="0.35">
      <c r="C5" s="20" t="s">
        <v>8</v>
      </c>
    </row>
    <row r="7" spans="1:13" ht="13" x14ac:dyDescent="0.3">
      <c r="A7" s="3" t="s">
        <v>0</v>
      </c>
      <c r="B7" s="95" t="s">
        <v>71</v>
      </c>
      <c r="C7" s="95"/>
      <c r="D7" s="76" t="s">
        <v>72</v>
      </c>
    </row>
    <row r="8" spans="1:13" ht="13" x14ac:dyDescent="0.3">
      <c r="A8" s="3" t="s">
        <v>1</v>
      </c>
      <c r="B8" s="96">
        <v>45689</v>
      </c>
      <c r="C8" s="96"/>
      <c r="D8" s="75" t="str">
        <f>+IF(YEAR(B8)=WithdrawalYear,"  PROCEED - Withdrawal During "&amp;WithdrawalYear,"  ERROR - Withdrawal Not in "&amp;WithdrawalYear)</f>
        <v xml:space="preserve">  PROCEED - Withdrawal During 2025</v>
      </c>
    </row>
    <row r="9" spans="1:13" ht="13" x14ac:dyDescent="0.3">
      <c r="A9" s="3"/>
      <c r="B9" s="7"/>
    </row>
    <row r="10" spans="1:13" ht="13" x14ac:dyDescent="0.3">
      <c r="A10" s="54"/>
      <c r="B10" s="55" t="s">
        <v>9</v>
      </c>
      <c r="C10" s="62" t="s">
        <v>10</v>
      </c>
      <c r="D10" s="73" t="s">
        <v>70</v>
      </c>
      <c r="E10" s="58" t="s">
        <v>12</v>
      </c>
      <c r="F10" s="62" t="s">
        <v>12</v>
      </c>
      <c r="L10" s="2"/>
      <c r="M10" s="2"/>
    </row>
    <row r="11" spans="1:13" ht="13" x14ac:dyDescent="0.3">
      <c r="A11" s="55" t="s">
        <v>4</v>
      </c>
      <c r="B11" s="55" t="s">
        <v>5</v>
      </c>
      <c r="C11" s="58" t="s">
        <v>81</v>
      </c>
      <c r="D11" s="74" t="s">
        <v>55</v>
      </c>
      <c r="E11" s="58" t="s">
        <v>11</v>
      </c>
      <c r="F11" s="62" t="s">
        <v>13</v>
      </c>
      <c r="G11" s="2"/>
      <c r="K11" s="2"/>
    </row>
    <row r="12" spans="1:13" x14ac:dyDescent="0.25">
      <c r="A12" s="52">
        <f>+DATE(YEAR(B8)-1,12,1)</f>
        <v>45627</v>
      </c>
      <c r="B12" s="56">
        <v>30000</v>
      </c>
      <c r="C12" s="56">
        <v>6300</v>
      </c>
      <c r="D12" s="89">
        <f>IF(B12&gt;0,C12/B12," ")</f>
        <v>0.21</v>
      </c>
      <c r="E12" s="59"/>
      <c r="F12" s="63"/>
    </row>
    <row r="13" spans="1:13" x14ac:dyDescent="0.25">
      <c r="A13" s="52">
        <f>+DATE(YEAR(A12),MONTH(A12)-1,1)</f>
        <v>45597</v>
      </c>
      <c r="B13" s="56">
        <v>30000</v>
      </c>
      <c r="C13" s="56">
        <v>6300</v>
      </c>
      <c r="D13" s="89">
        <f t="shared" ref="D13:D71" si="0">IF(B13&gt;0,C13/B13," ")</f>
        <v>0.21</v>
      </c>
      <c r="E13" s="59"/>
      <c r="F13" s="63"/>
    </row>
    <row r="14" spans="1:13" x14ac:dyDescent="0.25">
      <c r="A14" s="52">
        <f t="shared" ref="A14:A71" si="1">+DATE(YEAR(A13),MONTH(A13)-1,1)</f>
        <v>45566</v>
      </c>
      <c r="B14" s="56">
        <v>30000</v>
      </c>
      <c r="C14" s="56">
        <v>6300</v>
      </c>
      <c r="D14" s="89">
        <f t="shared" si="0"/>
        <v>0.21</v>
      </c>
      <c r="E14" s="59"/>
      <c r="F14" s="63"/>
    </row>
    <row r="15" spans="1:13" x14ac:dyDescent="0.25">
      <c r="A15" s="52">
        <f t="shared" si="1"/>
        <v>45536</v>
      </c>
      <c r="B15" s="56">
        <v>30000</v>
      </c>
      <c r="C15" s="56">
        <v>6300</v>
      </c>
      <c r="D15" s="89">
        <f t="shared" si="0"/>
        <v>0.21</v>
      </c>
      <c r="E15" s="59"/>
      <c r="F15" s="63"/>
    </row>
    <row r="16" spans="1:13" x14ac:dyDescent="0.25">
      <c r="A16" s="52">
        <f t="shared" si="1"/>
        <v>45505</v>
      </c>
      <c r="B16" s="56">
        <v>30000</v>
      </c>
      <c r="C16" s="56">
        <v>6300</v>
      </c>
      <c r="D16" s="89">
        <f t="shared" si="0"/>
        <v>0.21</v>
      </c>
      <c r="E16" s="59"/>
      <c r="F16" s="63"/>
    </row>
    <row r="17" spans="1:11" x14ac:dyDescent="0.25">
      <c r="A17" s="52">
        <f t="shared" si="1"/>
        <v>45474</v>
      </c>
      <c r="B17" s="56">
        <v>30000</v>
      </c>
      <c r="C17" s="56">
        <v>6300</v>
      </c>
      <c r="D17" s="89">
        <f t="shared" si="0"/>
        <v>0.21</v>
      </c>
      <c r="E17" s="59"/>
      <c r="F17" s="63"/>
    </row>
    <row r="18" spans="1:11" x14ac:dyDescent="0.25">
      <c r="A18" s="52">
        <f t="shared" si="1"/>
        <v>45444</v>
      </c>
      <c r="B18" s="56">
        <v>30000</v>
      </c>
      <c r="C18" s="56">
        <v>6300</v>
      </c>
      <c r="D18" s="89">
        <f t="shared" si="0"/>
        <v>0.21</v>
      </c>
      <c r="E18" s="59"/>
      <c r="F18" s="63"/>
    </row>
    <row r="19" spans="1:11" x14ac:dyDescent="0.25">
      <c r="A19" s="52">
        <f t="shared" si="1"/>
        <v>45413</v>
      </c>
      <c r="B19" s="56">
        <v>30000</v>
      </c>
      <c r="C19" s="56">
        <v>6300</v>
      </c>
      <c r="D19" s="89">
        <f t="shared" si="0"/>
        <v>0.21</v>
      </c>
      <c r="E19" s="59"/>
      <c r="F19" s="63"/>
    </row>
    <row r="20" spans="1:11" x14ac:dyDescent="0.25">
      <c r="A20" s="52">
        <f t="shared" si="1"/>
        <v>45383</v>
      </c>
      <c r="B20" s="56">
        <v>30000</v>
      </c>
      <c r="C20" s="56">
        <v>6300</v>
      </c>
      <c r="D20" s="89">
        <f t="shared" si="0"/>
        <v>0.21</v>
      </c>
      <c r="E20" s="59"/>
      <c r="F20" s="63"/>
    </row>
    <row r="21" spans="1:11" x14ac:dyDescent="0.25">
      <c r="A21" s="52">
        <f t="shared" si="1"/>
        <v>45352</v>
      </c>
      <c r="B21" s="56">
        <v>30000</v>
      </c>
      <c r="C21" s="56">
        <v>6300</v>
      </c>
      <c r="D21" s="89">
        <f t="shared" si="0"/>
        <v>0.21</v>
      </c>
      <c r="E21" s="59"/>
      <c r="F21" s="63"/>
    </row>
    <row r="22" spans="1:11" x14ac:dyDescent="0.25">
      <c r="A22" s="52">
        <f t="shared" si="1"/>
        <v>45323</v>
      </c>
      <c r="B22" s="56">
        <v>30000</v>
      </c>
      <c r="C22" s="56">
        <v>6300</v>
      </c>
      <c r="D22" s="89">
        <f t="shared" si="0"/>
        <v>0.21</v>
      </c>
      <c r="E22" s="59"/>
      <c r="F22" s="63"/>
    </row>
    <row r="23" spans="1:11" ht="13" thickBot="1" x14ac:dyDescent="0.3">
      <c r="A23" s="53">
        <f t="shared" si="1"/>
        <v>45292</v>
      </c>
      <c r="B23" s="57">
        <v>30000</v>
      </c>
      <c r="C23" s="57">
        <v>6300</v>
      </c>
      <c r="D23" s="90">
        <f t="shared" si="0"/>
        <v>0.21</v>
      </c>
      <c r="E23" s="60">
        <f>+SUM(B12:B23)</f>
        <v>360000</v>
      </c>
      <c r="F23" s="64">
        <f>+SUM(C12:C23)</f>
        <v>75600</v>
      </c>
      <c r="G23" s="18"/>
      <c r="I23"/>
      <c r="K23" s="18"/>
    </row>
    <row r="24" spans="1:11" x14ac:dyDescent="0.25">
      <c r="A24" s="52">
        <f t="shared" si="1"/>
        <v>45261</v>
      </c>
      <c r="B24" s="56">
        <v>25000</v>
      </c>
      <c r="C24" s="56">
        <v>5250</v>
      </c>
      <c r="D24" s="89">
        <f t="shared" si="0"/>
        <v>0.21</v>
      </c>
      <c r="E24" s="59"/>
      <c r="F24" s="63"/>
      <c r="I24"/>
    </row>
    <row r="25" spans="1:11" x14ac:dyDescent="0.25">
      <c r="A25" s="52">
        <f t="shared" si="1"/>
        <v>45231</v>
      </c>
      <c r="B25" s="56">
        <v>25000</v>
      </c>
      <c r="C25" s="56">
        <v>5250</v>
      </c>
      <c r="D25" s="89">
        <f t="shared" si="0"/>
        <v>0.21</v>
      </c>
      <c r="E25" s="59"/>
      <c r="F25" s="63"/>
      <c r="I25"/>
    </row>
    <row r="26" spans="1:11" x14ac:dyDescent="0.25">
      <c r="A26" s="52">
        <f t="shared" si="1"/>
        <v>45200</v>
      </c>
      <c r="B26" s="56">
        <v>25000</v>
      </c>
      <c r="C26" s="56">
        <v>5250</v>
      </c>
      <c r="D26" s="89">
        <f t="shared" si="0"/>
        <v>0.21</v>
      </c>
      <c r="E26" s="59"/>
      <c r="F26" s="63"/>
      <c r="I26"/>
    </row>
    <row r="27" spans="1:11" x14ac:dyDescent="0.25">
      <c r="A27" s="52">
        <f t="shared" si="1"/>
        <v>45170</v>
      </c>
      <c r="B27" s="56">
        <v>25000</v>
      </c>
      <c r="C27" s="56">
        <v>5250</v>
      </c>
      <c r="D27" s="89">
        <f t="shared" si="0"/>
        <v>0.21</v>
      </c>
      <c r="E27" s="59"/>
      <c r="F27" s="63"/>
      <c r="I27"/>
    </row>
    <row r="28" spans="1:11" x14ac:dyDescent="0.25">
      <c r="A28" s="52">
        <f t="shared" si="1"/>
        <v>45139</v>
      </c>
      <c r="B28" s="56">
        <v>25000</v>
      </c>
      <c r="C28" s="56">
        <v>5250</v>
      </c>
      <c r="D28" s="89">
        <f t="shared" si="0"/>
        <v>0.21</v>
      </c>
      <c r="E28" s="59"/>
      <c r="F28" s="63"/>
      <c r="I28"/>
    </row>
    <row r="29" spans="1:11" x14ac:dyDescent="0.25">
      <c r="A29" s="52">
        <f t="shared" si="1"/>
        <v>45108</v>
      </c>
      <c r="B29" s="56">
        <v>25000</v>
      </c>
      <c r="C29" s="56">
        <v>5250</v>
      </c>
      <c r="D29" s="89">
        <f t="shared" si="0"/>
        <v>0.21</v>
      </c>
      <c r="E29" s="59"/>
      <c r="F29" s="63"/>
      <c r="I29"/>
    </row>
    <row r="30" spans="1:11" x14ac:dyDescent="0.25">
      <c r="A30" s="52">
        <f t="shared" si="1"/>
        <v>45078</v>
      </c>
      <c r="B30" s="56">
        <v>25000</v>
      </c>
      <c r="C30" s="56">
        <v>5250</v>
      </c>
      <c r="D30" s="89">
        <f t="shared" si="0"/>
        <v>0.21</v>
      </c>
      <c r="E30" s="59"/>
      <c r="F30" s="63"/>
      <c r="I30"/>
    </row>
    <row r="31" spans="1:11" x14ac:dyDescent="0.25">
      <c r="A31" s="52">
        <f t="shared" si="1"/>
        <v>45047</v>
      </c>
      <c r="B31" s="56">
        <v>25000</v>
      </c>
      <c r="C31" s="56">
        <v>5250</v>
      </c>
      <c r="D31" s="89">
        <f t="shared" si="0"/>
        <v>0.21</v>
      </c>
      <c r="E31" s="59"/>
      <c r="F31" s="63"/>
      <c r="I31"/>
    </row>
    <row r="32" spans="1:11" x14ac:dyDescent="0.25">
      <c r="A32" s="52">
        <f t="shared" si="1"/>
        <v>45017</v>
      </c>
      <c r="B32" s="56">
        <v>25000</v>
      </c>
      <c r="C32" s="56">
        <v>5250</v>
      </c>
      <c r="D32" s="89">
        <f t="shared" si="0"/>
        <v>0.21</v>
      </c>
      <c r="E32" s="59"/>
      <c r="F32" s="63"/>
      <c r="I32"/>
    </row>
    <row r="33" spans="1:11" x14ac:dyDescent="0.25">
      <c r="A33" s="52">
        <f t="shared" si="1"/>
        <v>44986</v>
      </c>
      <c r="B33" s="56">
        <v>25000</v>
      </c>
      <c r="C33" s="56">
        <v>5250</v>
      </c>
      <c r="D33" s="89">
        <f t="shared" si="0"/>
        <v>0.21</v>
      </c>
      <c r="E33" s="59"/>
      <c r="F33" s="63"/>
      <c r="I33"/>
    </row>
    <row r="34" spans="1:11" x14ac:dyDescent="0.25">
      <c r="A34" s="52">
        <f t="shared" si="1"/>
        <v>44958</v>
      </c>
      <c r="B34" s="56">
        <v>25000</v>
      </c>
      <c r="C34" s="56">
        <v>5250</v>
      </c>
      <c r="D34" s="89">
        <f t="shared" si="0"/>
        <v>0.21</v>
      </c>
      <c r="E34" s="59"/>
      <c r="F34" s="63"/>
      <c r="I34"/>
    </row>
    <row r="35" spans="1:11" ht="13" thickBot="1" x14ac:dyDescent="0.3">
      <c r="A35" s="53">
        <f t="shared" si="1"/>
        <v>44927</v>
      </c>
      <c r="B35" s="57">
        <v>25000</v>
      </c>
      <c r="C35" s="57">
        <v>5250</v>
      </c>
      <c r="D35" s="90">
        <f t="shared" si="0"/>
        <v>0.21</v>
      </c>
      <c r="E35" s="60">
        <f>+SUM(B24:B35)</f>
        <v>300000</v>
      </c>
      <c r="F35" s="64">
        <f>+SUM(C24:C35)</f>
        <v>63000</v>
      </c>
      <c r="G35" s="18"/>
      <c r="I35"/>
      <c r="K35" s="18"/>
    </row>
    <row r="36" spans="1:11" x14ac:dyDescent="0.25">
      <c r="A36" s="52">
        <f t="shared" si="1"/>
        <v>44896</v>
      </c>
      <c r="B36" s="56">
        <v>20000</v>
      </c>
      <c r="C36" s="56">
        <v>4200</v>
      </c>
      <c r="D36" s="89">
        <f t="shared" si="0"/>
        <v>0.21</v>
      </c>
      <c r="E36" s="59"/>
      <c r="F36" s="63"/>
      <c r="I36"/>
    </row>
    <row r="37" spans="1:11" x14ac:dyDescent="0.25">
      <c r="A37" s="52">
        <f t="shared" si="1"/>
        <v>44866</v>
      </c>
      <c r="B37" s="56">
        <v>20000</v>
      </c>
      <c r="C37" s="56">
        <v>4200</v>
      </c>
      <c r="D37" s="89">
        <f t="shared" si="0"/>
        <v>0.21</v>
      </c>
      <c r="E37" s="59"/>
      <c r="F37" s="63"/>
      <c r="I37"/>
    </row>
    <row r="38" spans="1:11" x14ac:dyDescent="0.25">
      <c r="A38" s="52">
        <f t="shared" si="1"/>
        <v>44835</v>
      </c>
      <c r="B38" s="56">
        <v>20000</v>
      </c>
      <c r="C38" s="56">
        <v>4200</v>
      </c>
      <c r="D38" s="89">
        <f t="shared" si="0"/>
        <v>0.21</v>
      </c>
      <c r="E38" s="59"/>
      <c r="F38" s="63"/>
      <c r="I38"/>
    </row>
    <row r="39" spans="1:11" x14ac:dyDescent="0.25">
      <c r="A39" s="52">
        <f t="shared" si="1"/>
        <v>44805</v>
      </c>
      <c r="B39" s="56">
        <v>20000</v>
      </c>
      <c r="C39" s="56">
        <v>4200</v>
      </c>
      <c r="D39" s="89">
        <f t="shared" si="0"/>
        <v>0.21</v>
      </c>
      <c r="E39" s="59"/>
      <c r="F39" s="63"/>
      <c r="I39"/>
    </row>
    <row r="40" spans="1:11" x14ac:dyDescent="0.25">
      <c r="A40" s="52">
        <f t="shared" si="1"/>
        <v>44774</v>
      </c>
      <c r="B40" s="56"/>
      <c r="C40" s="56"/>
      <c r="D40" s="89" t="str">
        <f t="shared" si="0"/>
        <v xml:space="preserve"> </v>
      </c>
      <c r="E40" s="59"/>
      <c r="F40" s="63"/>
      <c r="I40"/>
    </row>
    <row r="41" spans="1:11" x14ac:dyDescent="0.25">
      <c r="A41" s="52">
        <f t="shared" si="1"/>
        <v>44743</v>
      </c>
      <c r="B41" s="56"/>
      <c r="C41" s="56"/>
      <c r="D41" s="89" t="str">
        <f t="shared" si="0"/>
        <v xml:space="preserve"> </v>
      </c>
      <c r="E41" s="61"/>
      <c r="F41" s="65"/>
      <c r="G41" s="18"/>
      <c r="K41" s="18"/>
    </row>
    <row r="42" spans="1:11" x14ac:dyDescent="0.25">
      <c r="A42" s="52">
        <f t="shared" si="1"/>
        <v>44713</v>
      </c>
      <c r="B42" s="56"/>
      <c r="C42" s="56"/>
      <c r="D42" s="89" t="str">
        <f t="shared" si="0"/>
        <v xml:space="preserve"> </v>
      </c>
      <c r="E42" s="59"/>
      <c r="F42" s="63"/>
    </row>
    <row r="43" spans="1:11" x14ac:dyDescent="0.25">
      <c r="A43" s="52">
        <f t="shared" si="1"/>
        <v>44682</v>
      </c>
      <c r="B43" s="56"/>
      <c r="C43" s="56"/>
      <c r="D43" s="89" t="str">
        <f t="shared" si="0"/>
        <v xml:space="preserve"> </v>
      </c>
      <c r="E43" s="59"/>
      <c r="F43" s="63"/>
    </row>
    <row r="44" spans="1:11" x14ac:dyDescent="0.25">
      <c r="A44" s="52">
        <f t="shared" si="1"/>
        <v>44652</v>
      </c>
      <c r="B44" s="56"/>
      <c r="C44" s="56"/>
      <c r="D44" s="89" t="str">
        <f t="shared" si="0"/>
        <v xml:space="preserve"> </v>
      </c>
      <c r="E44" s="59"/>
      <c r="F44" s="63"/>
    </row>
    <row r="45" spans="1:11" x14ac:dyDescent="0.25">
      <c r="A45" s="52">
        <f t="shared" si="1"/>
        <v>44621</v>
      </c>
      <c r="B45" s="56"/>
      <c r="C45" s="56"/>
      <c r="D45" s="89" t="str">
        <f t="shared" si="0"/>
        <v xml:space="preserve"> </v>
      </c>
      <c r="E45" s="59"/>
      <c r="F45" s="63"/>
    </row>
    <row r="46" spans="1:11" x14ac:dyDescent="0.25">
      <c r="A46" s="52">
        <f t="shared" si="1"/>
        <v>44593</v>
      </c>
      <c r="B46" s="56"/>
      <c r="C46" s="56"/>
      <c r="D46" s="89" t="str">
        <f t="shared" si="0"/>
        <v xml:space="preserve"> </v>
      </c>
      <c r="E46" s="59"/>
      <c r="F46" s="66"/>
      <c r="G46" s="67"/>
      <c r="K46" s="19"/>
    </row>
    <row r="47" spans="1:11" ht="13" thickBot="1" x14ac:dyDescent="0.3">
      <c r="A47" s="53">
        <f t="shared" si="1"/>
        <v>44562</v>
      </c>
      <c r="B47" s="57"/>
      <c r="C47" s="57"/>
      <c r="D47" s="90" t="str">
        <f t="shared" si="0"/>
        <v xml:space="preserve"> </v>
      </c>
      <c r="E47" s="60">
        <f>+SUM(B36:B47)</f>
        <v>80000</v>
      </c>
      <c r="F47" s="64">
        <f>+SUM(C36:C47)</f>
        <v>16800</v>
      </c>
      <c r="G47" s="18"/>
      <c r="K47" s="18"/>
    </row>
    <row r="48" spans="1:11" x14ac:dyDescent="0.25">
      <c r="A48" s="52">
        <f t="shared" si="1"/>
        <v>44531</v>
      </c>
      <c r="B48" s="56"/>
      <c r="C48" s="56"/>
      <c r="D48" s="89" t="str">
        <f t="shared" si="0"/>
        <v xml:space="preserve"> </v>
      </c>
      <c r="E48" s="59"/>
      <c r="F48" s="63"/>
    </row>
    <row r="49" spans="1:11" x14ac:dyDescent="0.25">
      <c r="A49" s="52">
        <f t="shared" si="1"/>
        <v>44501</v>
      </c>
      <c r="B49" s="56"/>
      <c r="C49" s="56"/>
      <c r="D49" s="89" t="str">
        <f t="shared" si="0"/>
        <v xml:space="preserve"> </v>
      </c>
      <c r="E49" s="59"/>
      <c r="F49" s="63"/>
    </row>
    <row r="50" spans="1:11" x14ac:dyDescent="0.25">
      <c r="A50" s="52">
        <f t="shared" si="1"/>
        <v>44470</v>
      </c>
      <c r="B50" s="56"/>
      <c r="C50" s="56"/>
      <c r="D50" s="89" t="str">
        <f t="shared" si="0"/>
        <v xml:space="preserve"> </v>
      </c>
      <c r="E50" s="59"/>
      <c r="F50" s="63"/>
    </row>
    <row r="51" spans="1:11" x14ac:dyDescent="0.25">
      <c r="A51" s="52">
        <f t="shared" si="1"/>
        <v>44440</v>
      </c>
      <c r="B51" s="56"/>
      <c r="C51" s="56"/>
      <c r="D51" s="89" t="str">
        <f t="shared" si="0"/>
        <v xml:space="preserve"> </v>
      </c>
      <c r="E51" s="59"/>
      <c r="F51" s="63"/>
    </row>
    <row r="52" spans="1:11" x14ac:dyDescent="0.25">
      <c r="A52" s="52">
        <f t="shared" si="1"/>
        <v>44409</v>
      </c>
      <c r="B52" s="56"/>
      <c r="C52" s="56"/>
      <c r="D52" s="89" t="str">
        <f t="shared" si="0"/>
        <v xml:space="preserve"> </v>
      </c>
      <c r="E52" s="59"/>
      <c r="F52" s="63"/>
    </row>
    <row r="53" spans="1:11" x14ac:dyDescent="0.25">
      <c r="A53" s="52">
        <f t="shared" si="1"/>
        <v>44378</v>
      </c>
      <c r="B53" s="56"/>
      <c r="C53" s="56"/>
      <c r="D53" s="89" t="str">
        <f t="shared" si="0"/>
        <v xml:space="preserve"> </v>
      </c>
      <c r="E53" s="59"/>
      <c r="F53" s="63"/>
    </row>
    <row r="54" spans="1:11" x14ac:dyDescent="0.25">
      <c r="A54" s="52">
        <f t="shared" si="1"/>
        <v>44348</v>
      </c>
      <c r="B54" s="56"/>
      <c r="C54" s="56"/>
      <c r="D54" s="89" t="str">
        <f t="shared" si="0"/>
        <v xml:space="preserve"> </v>
      </c>
      <c r="E54" s="59"/>
      <c r="F54" s="63"/>
    </row>
    <row r="55" spans="1:11" x14ac:dyDescent="0.25">
      <c r="A55" s="52">
        <f t="shared" si="1"/>
        <v>44317</v>
      </c>
      <c r="B55" s="56"/>
      <c r="C55" s="56"/>
      <c r="D55" s="89" t="str">
        <f t="shared" si="0"/>
        <v xml:space="preserve"> </v>
      </c>
      <c r="E55" s="59"/>
      <c r="F55" s="63"/>
    </row>
    <row r="56" spans="1:11" x14ac:dyDescent="0.25">
      <c r="A56" s="52">
        <f t="shared" si="1"/>
        <v>44287</v>
      </c>
      <c r="B56" s="56"/>
      <c r="C56" s="56"/>
      <c r="D56" s="89" t="str">
        <f t="shared" si="0"/>
        <v xml:space="preserve"> </v>
      </c>
      <c r="E56" s="59"/>
      <c r="F56" s="63"/>
    </row>
    <row r="57" spans="1:11" x14ac:dyDescent="0.25">
      <c r="A57" s="52">
        <f t="shared" si="1"/>
        <v>44256</v>
      </c>
      <c r="B57" s="56"/>
      <c r="C57" s="56"/>
      <c r="D57" s="89" t="str">
        <f t="shared" si="0"/>
        <v xml:space="preserve"> </v>
      </c>
      <c r="E57" s="59"/>
      <c r="F57" s="63"/>
    </row>
    <row r="58" spans="1:11" x14ac:dyDescent="0.25">
      <c r="A58" s="52">
        <f t="shared" si="1"/>
        <v>44228</v>
      </c>
      <c r="B58" s="56"/>
      <c r="C58" s="56"/>
      <c r="D58" s="89" t="str">
        <f t="shared" si="0"/>
        <v xml:space="preserve"> </v>
      </c>
      <c r="E58" s="59"/>
      <c r="F58" s="63"/>
    </row>
    <row r="59" spans="1:11" ht="13" thickBot="1" x14ac:dyDescent="0.3">
      <c r="A59" s="53">
        <f t="shared" si="1"/>
        <v>44197</v>
      </c>
      <c r="B59" s="57"/>
      <c r="C59" s="57"/>
      <c r="D59" s="90" t="str">
        <f t="shared" si="0"/>
        <v xml:space="preserve"> </v>
      </c>
      <c r="E59" s="60">
        <f>+SUM(B48:B59)</f>
        <v>0</v>
      </c>
      <c r="F59" s="64">
        <f>+SUM(C48:C59)</f>
        <v>0</v>
      </c>
      <c r="G59" s="18"/>
      <c r="K59" s="18"/>
    </row>
    <row r="60" spans="1:11" x14ac:dyDescent="0.25">
      <c r="A60" s="52">
        <f t="shared" si="1"/>
        <v>44166</v>
      </c>
      <c r="B60" s="56"/>
      <c r="C60" s="56"/>
      <c r="D60" s="89" t="str">
        <f t="shared" si="0"/>
        <v xml:space="preserve"> </v>
      </c>
      <c r="E60" s="59"/>
      <c r="F60" s="63"/>
    </row>
    <row r="61" spans="1:11" x14ac:dyDescent="0.25">
      <c r="A61" s="52">
        <f t="shared" si="1"/>
        <v>44136</v>
      </c>
      <c r="B61" s="56"/>
      <c r="C61" s="56"/>
      <c r="D61" s="89" t="str">
        <f t="shared" si="0"/>
        <v xml:space="preserve"> </v>
      </c>
      <c r="E61" s="59"/>
      <c r="F61" s="63"/>
    </row>
    <row r="62" spans="1:11" x14ac:dyDescent="0.25">
      <c r="A62" s="52">
        <f t="shared" si="1"/>
        <v>44105</v>
      </c>
      <c r="B62" s="56"/>
      <c r="C62" s="56"/>
      <c r="D62" s="89" t="str">
        <f t="shared" si="0"/>
        <v xml:space="preserve"> </v>
      </c>
      <c r="E62" s="59"/>
      <c r="F62" s="63"/>
    </row>
    <row r="63" spans="1:11" x14ac:dyDescent="0.25">
      <c r="A63" s="52">
        <f t="shared" si="1"/>
        <v>44075</v>
      </c>
      <c r="B63" s="56"/>
      <c r="C63" s="56"/>
      <c r="D63" s="89" t="str">
        <f t="shared" si="0"/>
        <v xml:space="preserve"> </v>
      </c>
      <c r="E63" s="59"/>
      <c r="F63" s="63"/>
    </row>
    <row r="64" spans="1:11" x14ac:dyDescent="0.25">
      <c r="A64" s="52">
        <f t="shared" si="1"/>
        <v>44044</v>
      </c>
      <c r="B64" s="56"/>
      <c r="C64" s="56"/>
      <c r="D64" s="89" t="str">
        <f t="shared" si="0"/>
        <v xml:space="preserve"> </v>
      </c>
      <c r="E64" s="59"/>
      <c r="F64" s="63"/>
    </row>
    <row r="65" spans="1:11" x14ac:dyDescent="0.25">
      <c r="A65" s="52">
        <f t="shared" si="1"/>
        <v>44013</v>
      </c>
      <c r="B65" s="56"/>
      <c r="C65" s="56"/>
      <c r="D65" s="89" t="str">
        <f t="shared" si="0"/>
        <v xml:space="preserve"> </v>
      </c>
      <c r="E65" s="59"/>
      <c r="F65" s="63"/>
    </row>
    <row r="66" spans="1:11" x14ac:dyDescent="0.25">
      <c r="A66" s="52">
        <f t="shared" si="1"/>
        <v>43983</v>
      </c>
      <c r="B66" s="56"/>
      <c r="C66" s="56"/>
      <c r="D66" s="89" t="str">
        <f t="shared" si="0"/>
        <v xml:space="preserve"> </v>
      </c>
      <c r="E66" s="59"/>
      <c r="F66" s="63"/>
    </row>
    <row r="67" spans="1:11" x14ac:dyDescent="0.25">
      <c r="A67" s="52">
        <f t="shared" si="1"/>
        <v>43952</v>
      </c>
      <c r="B67" s="56"/>
      <c r="C67" s="56"/>
      <c r="D67" s="89" t="str">
        <f t="shared" si="0"/>
        <v xml:space="preserve"> </v>
      </c>
      <c r="E67" s="59"/>
      <c r="F67" s="63"/>
    </row>
    <row r="68" spans="1:11" x14ac:dyDescent="0.25">
      <c r="A68" s="52">
        <f t="shared" si="1"/>
        <v>43922</v>
      </c>
      <c r="B68" s="56"/>
      <c r="C68" s="56"/>
      <c r="D68" s="89" t="str">
        <f t="shared" si="0"/>
        <v xml:space="preserve"> </v>
      </c>
      <c r="E68" s="59"/>
      <c r="F68" s="63"/>
    </row>
    <row r="69" spans="1:11" x14ac:dyDescent="0.25">
      <c r="A69" s="52">
        <f t="shared" si="1"/>
        <v>43891</v>
      </c>
      <c r="B69" s="56"/>
      <c r="C69" s="56"/>
      <c r="D69" s="89" t="str">
        <f t="shared" si="0"/>
        <v xml:space="preserve"> </v>
      </c>
      <c r="E69" s="59"/>
      <c r="F69" s="63"/>
    </row>
    <row r="70" spans="1:11" x14ac:dyDescent="0.25">
      <c r="A70" s="52">
        <f t="shared" si="1"/>
        <v>43862</v>
      </c>
      <c r="B70" s="56"/>
      <c r="C70" s="56"/>
      <c r="D70" s="89" t="str">
        <f t="shared" si="0"/>
        <v xml:space="preserve"> </v>
      </c>
      <c r="E70" s="59"/>
      <c r="F70" s="63"/>
    </row>
    <row r="71" spans="1:11" ht="13" thickBot="1" x14ac:dyDescent="0.3">
      <c r="A71" s="53">
        <f t="shared" si="1"/>
        <v>43831</v>
      </c>
      <c r="B71" s="57"/>
      <c r="C71" s="57"/>
      <c r="D71" s="90" t="str">
        <f t="shared" si="0"/>
        <v xml:space="preserve"> </v>
      </c>
      <c r="E71" s="60">
        <f>+SUM(B60:B71)</f>
        <v>0</v>
      </c>
      <c r="F71" s="64">
        <f>+SUM(C60:C71)</f>
        <v>0</v>
      </c>
      <c r="G71" s="18"/>
      <c r="K71" s="18"/>
    </row>
    <row r="72" spans="1:11" ht="13" x14ac:dyDescent="0.3">
      <c r="A72" s="54"/>
      <c r="B72" s="58" t="s">
        <v>9</v>
      </c>
      <c r="C72" s="58" t="s">
        <v>10</v>
      </c>
      <c r="D72" s="91" t="s">
        <v>70</v>
      </c>
      <c r="E72" s="58" t="s">
        <v>12</v>
      </c>
      <c r="F72" s="62" t="s">
        <v>12</v>
      </c>
      <c r="G72" s="18"/>
      <c r="K72" s="18"/>
    </row>
    <row r="73" spans="1:11" ht="13" x14ac:dyDescent="0.3">
      <c r="A73" s="55" t="s">
        <v>4</v>
      </c>
      <c r="B73" s="58" t="s">
        <v>5</v>
      </c>
      <c r="C73" s="58" t="s">
        <v>6</v>
      </c>
      <c r="D73" s="92" t="s">
        <v>55</v>
      </c>
      <c r="E73" s="58" t="s">
        <v>11</v>
      </c>
      <c r="F73" s="62" t="s">
        <v>13</v>
      </c>
      <c r="G73" s="18"/>
      <c r="K73" s="18"/>
    </row>
    <row r="74" spans="1:11" x14ac:dyDescent="0.25">
      <c r="A74" s="52">
        <f>+DATE(YEAR(A71),MONTH(A71)-1,1)</f>
        <v>43800</v>
      </c>
      <c r="B74" s="56"/>
      <c r="C74" s="56"/>
      <c r="D74" s="89" t="str">
        <f t="shared" ref="D74:D133" si="2">IF(B74&gt;0,C74/B74," ")</f>
        <v xml:space="preserve"> </v>
      </c>
      <c r="E74" s="59"/>
      <c r="F74" s="63"/>
    </row>
    <row r="75" spans="1:11" x14ac:dyDescent="0.25">
      <c r="A75" s="52">
        <f t="shared" ref="A75:A133" si="3">+DATE(YEAR(A74),MONTH(A74)-1,1)</f>
        <v>43770</v>
      </c>
      <c r="B75" s="56"/>
      <c r="C75" s="56"/>
      <c r="D75" s="89" t="str">
        <f t="shared" si="2"/>
        <v xml:space="preserve"> </v>
      </c>
      <c r="E75" s="59"/>
      <c r="F75" s="63"/>
    </row>
    <row r="76" spans="1:11" x14ac:dyDescent="0.25">
      <c r="A76" s="52">
        <f t="shared" si="3"/>
        <v>43739</v>
      </c>
      <c r="B76" s="56"/>
      <c r="C76" s="56"/>
      <c r="D76" s="89" t="str">
        <f t="shared" si="2"/>
        <v xml:space="preserve"> </v>
      </c>
      <c r="E76" s="59"/>
      <c r="F76" s="63"/>
    </row>
    <row r="77" spans="1:11" x14ac:dyDescent="0.25">
      <c r="A77" s="52">
        <f t="shared" si="3"/>
        <v>43709</v>
      </c>
      <c r="B77" s="56"/>
      <c r="C77" s="56"/>
      <c r="D77" s="89" t="str">
        <f t="shared" si="2"/>
        <v xml:space="preserve"> </v>
      </c>
      <c r="E77" s="59"/>
      <c r="F77" s="63"/>
    </row>
    <row r="78" spans="1:11" x14ac:dyDescent="0.25">
      <c r="A78" s="52">
        <f t="shared" si="3"/>
        <v>43678</v>
      </c>
      <c r="B78" s="56"/>
      <c r="C78" s="56"/>
      <c r="D78" s="89" t="str">
        <f t="shared" si="2"/>
        <v xml:space="preserve"> </v>
      </c>
      <c r="E78" s="59"/>
      <c r="F78" s="63"/>
    </row>
    <row r="79" spans="1:11" x14ac:dyDescent="0.25">
      <c r="A79" s="52">
        <f t="shared" si="3"/>
        <v>43647</v>
      </c>
      <c r="B79" s="56"/>
      <c r="C79" s="56"/>
      <c r="D79" s="89" t="str">
        <f t="shared" si="2"/>
        <v xml:space="preserve"> </v>
      </c>
      <c r="E79" s="59"/>
      <c r="F79" s="63"/>
    </row>
    <row r="80" spans="1:11" x14ac:dyDescent="0.25">
      <c r="A80" s="52">
        <f t="shared" si="3"/>
        <v>43617</v>
      </c>
      <c r="B80" s="56"/>
      <c r="C80" s="56"/>
      <c r="D80" s="89" t="str">
        <f t="shared" si="2"/>
        <v xml:space="preserve"> </v>
      </c>
      <c r="E80" s="59"/>
      <c r="F80" s="63"/>
    </row>
    <row r="81" spans="1:6" x14ac:dyDescent="0.25">
      <c r="A81" s="52">
        <f t="shared" si="3"/>
        <v>43586</v>
      </c>
      <c r="B81" s="56"/>
      <c r="C81" s="56"/>
      <c r="D81" s="89" t="str">
        <f t="shared" si="2"/>
        <v xml:space="preserve"> </v>
      </c>
      <c r="E81" s="59"/>
      <c r="F81" s="63"/>
    </row>
    <row r="82" spans="1:6" x14ac:dyDescent="0.25">
      <c r="A82" s="52">
        <f t="shared" si="3"/>
        <v>43556</v>
      </c>
      <c r="B82" s="56"/>
      <c r="C82" s="56"/>
      <c r="D82" s="89" t="str">
        <f t="shared" si="2"/>
        <v xml:space="preserve"> </v>
      </c>
      <c r="E82" s="59"/>
      <c r="F82" s="63"/>
    </row>
    <row r="83" spans="1:6" x14ac:dyDescent="0.25">
      <c r="A83" s="52">
        <f t="shared" si="3"/>
        <v>43525</v>
      </c>
      <c r="B83" s="56"/>
      <c r="C83" s="56"/>
      <c r="D83" s="89" t="str">
        <f t="shared" si="2"/>
        <v xml:space="preserve"> </v>
      </c>
      <c r="E83" s="59"/>
      <c r="F83" s="63"/>
    </row>
    <row r="84" spans="1:6" x14ac:dyDescent="0.25">
      <c r="A84" s="52">
        <f t="shared" si="3"/>
        <v>43497</v>
      </c>
      <c r="B84" s="56"/>
      <c r="C84" s="56"/>
      <c r="D84" s="89" t="str">
        <f t="shared" si="2"/>
        <v xml:space="preserve"> </v>
      </c>
      <c r="E84" s="59"/>
      <c r="F84" s="63"/>
    </row>
    <row r="85" spans="1:6" ht="13" thickBot="1" x14ac:dyDescent="0.3">
      <c r="A85" s="53">
        <f t="shared" si="3"/>
        <v>43466</v>
      </c>
      <c r="B85" s="57"/>
      <c r="C85" s="57"/>
      <c r="D85" s="90" t="str">
        <f t="shared" si="2"/>
        <v xml:space="preserve"> </v>
      </c>
      <c r="E85" s="60">
        <f>+SUM(B74:B85)</f>
        <v>0</v>
      </c>
      <c r="F85" s="64">
        <f>+SUM(C74:C85)</f>
        <v>0</v>
      </c>
    </row>
    <row r="86" spans="1:6" x14ac:dyDescent="0.25">
      <c r="A86" s="52">
        <f t="shared" si="3"/>
        <v>43435</v>
      </c>
      <c r="B86" s="56"/>
      <c r="C86" s="56"/>
      <c r="D86" s="89" t="str">
        <f t="shared" si="2"/>
        <v xml:space="preserve"> </v>
      </c>
      <c r="E86" s="59"/>
      <c r="F86" s="63"/>
    </row>
    <row r="87" spans="1:6" x14ac:dyDescent="0.25">
      <c r="A87" s="52">
        <f t="shared" si="3"/>
        <v>43405</v>
      </c>
      <c r="B87" s="56"/>
      <c r="C87" s="56"/>
      <c r="D87" s="89" t="str">
        <f t="shared" si="2"/>
        <v xml:space="preserve"> </v>
      </c>
      <c r="E87" s="59"/>
      <c r="F87" s="63"/>
    </row>
    <row r="88" spans="1:6" x14ac:dyDescent="0.25">
      <c r="A88" s="52">
        <f t="shared" si="3"/>
        <v>43374</v>
      </c>
      <c r="B88" s="56"/>
      <c r="C88" s="56"/>
      <c r="D88" s="89" t="str">
        <f t="shared" si="2"/>
        <v xml:space="preserve"> </v>
      </c>
      <c r="E88" s="59"/>
      <c r="F88" s="63"/>
    </row>
    <row r="89" spans="1:6" x14ac:dyDescent="0.25">
      <c r="A89" s="52">
        <f t="shared" si="3"/>
        <v>43344</v>
      </c>
      <c r="B89" s="56"/>
      <c r="C89" s="56"/>
      <c r="D89" s="89" t="str">
        <f t="shared" si="2"/>
        <v xml:space="preserve"> </v>
      </c>
      <c r="E89" s="59"/>
      <c r="F89" s="63"/>
    </row>
    <row r="90" spans="1:6" x14ac:dyDescent="0.25">
      <c r="A90" s="52">
        <f t="shared" si="3"/>
        <v>43313</v>
      </c>
      <c r="B90" s="56"/>
      <c r="C90" s="56"/>
      <c r="D90" s="89" t="str">
        <f t="shared" si="2"/>
        <v xml:space="preserve"> </v>
      </c>
      <c r="E90" s="59"/>
      <c r="F90" s="63"/>
    </row>
    <row r="91" spans="1:6" x14ac:dyDescent="0.25">
      <c r="A91" s="52">
        <f t="shared" si="3"/>
        <v>43282</v>
      </c>
      <c r="B91" s="56"/>
      <c r="C91" s="56"/>
      <c r="D91" s="89" t="str">
        <f t="shared" si="2"/>
        <v xml:space="preserve"> </v>
      </c>
      <c r="E91" s="59"/>
      <c r="F91" s="63"/>
    </row>
    <row r="92" spans="1:6" x14ac:dyDescent="0.25">
      <c r="A92" s="52">
        <f t="shared" si="3"/>
        <v>43252</v>
      </c>
      <c r="B92" s="56"/>
      <c r="C92" s="56"/>
      <c r="D92" s="89" t="str">
        <f t="shared" si="2"/>
        <v xml:space="preserve"> </v>
      </c>
      <c r="E92" s="59"/>
      <c r="F92" s="63"/>
    </row>
    <row r="93" spans="1:6" x14ac:dyDescent="0.25">
      <c r="A93" s="52">
        <f t="shared" si="3"/>
        <v>43221</v>
      </c>
      <c r="B93" s="56"/>
      <c r="C93" s="56"/>
      <c r="D93" s="89" t="str">
        <f t="shared" si="2"/>
        <v xml:space="preserve"> </v>
      </c>
      <c r="E93" s="59"/>
      <c r="F93" s="63"/>
    </row>
    <row r="94" spans="1:6" x14ac:dyDescent="0.25">
      <c r="A94" s="52">
        <f t="shared" si="3"/>
        <v>43191</v>
      </c>
      <c r="B94" s="56"/>
      <c r="C94" s="56"/>
      <c r="D94" s="89" t="str">
        <f t="shared" si="2"/>
        <v xml:space="preserve"> </v>
      </c>
      <c r="E94" s="59"/>
      <c r="F94" s="63"/>
    </row>
    <row r="95" spans="1:6" x14ac:dyDescent="0.25">
      <c r="A95" s="52">
        <f t="shared" si="3"/>
        <v>43160</v>
      </c>
      <c r="B95" s="56"/>
      <c r="C95" s="56"/>
      <c r="D95" s="89" t="str">
        <f t="shared" si="2"/>
        <v xml:space="preserve"> </v>
      </c>
      <c r="E95" s="59"/>
      <c r="F95" s="63"/>
    </row>
    <row r="96" spans="1:6" x14ac:dyDescent="0.25">
      <c r="A96" s="52">
        <f t="shared" si="3"/>
        <v>43132</v>
      </c>
      <c r="B96" s="56"/>
      <c r="C96" s="56"/>
      <c r="D96" s="89" t="str">
        <f t="shared" si="2"/>
        <v xml:space="preserve"> </v>
      </c>
      <c r="E96" s="59"/>
      <c r="F96" s="63"/>
    </row>
    <row r="97" spans="1:6" ht="13" thickBot="1" x14ac:dyDescent="0.3">
      <c r="A97" s="53">
        <f t="shared" si="3"/>
        <v>43101</v>
      </c>
      <c r="B97" s="57"/>
      <c r="C97" s="57"/>
      <c r="D97" s="90" t="str">
        <f t="shared" si="2"/>
        <v xml:space="preserve"> </v>
      </c>
      <c r="E97" s="60">
        <f>+SUM(B86:B97)</f>
        <v>0</v>
      </c>
      <c r="F97" s="64">
        <f>+SUM(C86:C97)</f>
        <v>0</v>
      </c>
    </row>
    <row r="98" spans="1:6" x14ac:dyDescent="0.25">
      <c r="A98" s="52">
        <f t="shared" si="3"/>
        <v>43070</v>
      </c>
      <c r="B98" s="56"/>
      <c r="C98" s="56"/>
      <c r="D98" s="89" t="str">
        <f t="shared" si="2"/>
        <v xml:space="preserve"> </v>
      </c>
      <c r="E98" s="59"/>
      <c r="F98" s="63"/>
    </row>
    <row r="99" spans="1:6" x14ac:dyDescent="0.25">
      <c r="A99" s="52">
        <f t="shared" si="3"/>
        <v>43040</v>
      </c>
      <c r="B99" s="56"/>
      <c r="C99" s="56"/>
      <c r="D99" s="89" t="str">
        <f t="shared" si="2"/>
        <v xml:space="preserve"> </v>
      </c>
      <c r="E99" s="59"/>
      <c r="F99" s="63"/>
    </row>
    <row r="100" spans="1:6" x14ac:dyDescent="0.25">
      <c r="A100" s="52">
        <f t="shared" si="3"/>
        <v>43009</v>
      </c>
      <c r="B100" s="56"/>
      <c r="C100" s="56"/>
      <c r="D100" s="89" t="str">
        <f t="shared" si="2"/>
        <v xml:space="preserve"> </v>
      </c>
      <c r="E100" s="59"/>
      <c r="F100" s="63"/>
    </row>
    <row r="101" spans="1:6" x14ac:dyDescent="0.25">
      <c r="A101" s="52">
        <f t="shared" si="3"/>
        <v>42979</v>
      </c>
      <c r="B101" s="56"/>
      <c r="C101" s="56"/>
      <c r="D101" s="89" t="str">
        <f t="shared" si="2"/>
        <v xml:space="preserve"> </v>
      </c>
      <c r="E101" s="59"/>
      <c r="F101" s="63"/>
    </row>
    <row r="102" spans="1:6" x14ac:dyDescent="0.25">
      <c r="A102" s="52">
        <f t="shared" si="3"/>
        <v>42948</v>
      </c>
      <c r="B102" s="56"/>
      <c r="C102" s="56"/>
      <c r="D102" s="89" t="str">
        <f t="shared" si="2"/>
        <v xml:space="preserve"> </v>
      </c>
      <c r="E102" s="59"/>
      <c r="F102" s="63"/>
    </row>
    <row r="103" spans="1:6" x14ac:dyDescent="0.25">
      <c r="A103" s="52">
        <f t="shared" si="3"/>
        <v>42917</v>
      </c>
      <c r="B103" s="56"/>
      <c r="C103" s="56"/>
      <c r="D103" s="89" t="str">
        <f t="shared" si="2"/>
        <v xml:space="preserve"> </v>
      </c>
      <c r="E103" s="59"/>
      <c r="F103" s="63"/>
    </row>
    <row r="104" spans="1:6" x14ac:dyDescent="0.25">
      <c r="A104" s="52">
        <f t="shared" si="3"/>
        <v>42887</v>
      </c>
      <c r="B104" s="56"/>
      <c r="C104" s="56"/>
      <c r="D104" s="89" t="str">
        <f t="shared" si="2"/>
        <v xml:space="preserve"> </v>
      </c>
      <c r="E104" s="59"/>
      <c r="F104" s="63"/>
    </row>
    <row r="105" spans="1:6" x14ac:dyDescent="0.25">
      <c r="A105" s="52">
        <f t="shared" si="3"/>
        <v>42856</v>
      </c>
      <c r="B105" s="56"/>
      <c r="C105" s="56"/>
      <c r="D105" s="89" t="str">
        <f t="shared" si="2"/>
        <v xml:space="preserve"> </v>
      </c>
      <c r="E105" s="59"/>
      <c r="F105" s="63"/>
    </row>
    <row r="106" spans="1:6" x14ac:dyDescent="0.25">
      <c r="A106" s="52">
        <f t="shared" si="3"/>
        <v>42826</v>
      </c>
      <c r="B106" s="56"/>
      <c r="C106" s="56"/>
      <c r="D106" s="89" t="str">
        <f t="shared" si="2"/>
        <v xml:space="preserve"> </v>
      </c>
      <c r="E106" s="59"/>
      <c r="F106" s="63"/>
    </row>
    <row r="107" spans="1:6" x14ac:dyDescent="0.25">
      <c r="A107" s="52">
        <f t="shared" si="3"/>
        <v>42795</v>
      </c>
      <c r="B107" s="56"/>
      <c r="C107" s="56"/>
      <c r="D107" s="89" t="str">
        <f t="shared" si="2"/>
        <v xml:space="preserve"> </v>
      </c>
      <c r="E107" s="59"/>
      <c r="F107" s="63"/>
    </row>
    <row r="108" spans="1:6" x14ac:dyDescent="0.25">
      <c r="A108" s="52">
        <f t="shared" si="3"/>
        <v>42767</v>
      </c>
      <c r="B108" s="56"/>
      <c r="C108" s="56"/>
      <c r="D108" s="89" t="str">
        <f t="shared" si="2"/>
        <v xml:space="preserve"> </v>
      </c>
      <c r="E108" s="59"/>
      <c r="F108" s="63"/>
    </row>
    <row r="109" spans="1:6" ht="13" thickBot="1" x14ac:dyDescent="0.3">
      <c r="A109" s="53">
        <f t="shared" si="3"/>
        <v>42736</v>
      </c>
      <c r="B109" s="57"/>
      <c r="C109" s="57"/>
      <c r="D109" s="90" t="str">
        <f t="shared" si="2"/>
        <v xml:space="preserve"> </v>
      </c>
      <c r="E109" s="60">
        <f>+SUM(B98:B109)</f>
        <v>0</v>
      </c>
      <c r="F109" s="64">
        <f>+SUM(C98:C109)</f>
        <v>0</v>
      </c>
    </row>
    <row r="110" spans="1:6" x14ac:dyDescent="0.25">
      <c r="A110" s="52">
        <f t="shared" si="3"/>
        <v>42705</v>
      </c>
      <c r="B110" s="56"/>
      <c r="C110" s="56"/>
      <c r="D110" s="89" t="str">
        <f t="shared" si="2"/>
        <v xml:space="preserve"> </v>
      </c>
      <c r="E110" s="59"/>
      <c r="F110" s="63"/>
    </row>
    <row r="111" spans="1:6" x14ac:dyDescent="0.25">
      <c r="A111" s="52">
        <f t="shared" si="3"/>
        <v>42675</v>
      </c>
      <c r="B111" s="56"/>
      <c r="C111" s="56"/>
      <c r="D111" s="89" t="str">
        <f t="shared" si="2"/>
        <v xml:space="preserve"> </v>
      </c>
      <c r="E111" s="59"/>
      <c r="F111" s="63"/>
    </row>
    <row r="112" spans="1:6" x14ac:dyDescent="0.25">
      <c r="A112" s="52">
        <f t="shared" si="3"/>
        <v>42644</v>
      </c>
      <c r="B112" s="56"/>
      <c r="C112" s="56"/>
      <c r="D112" s="89" t="str">
        <f t="shared" si="2"/>
        <v xml:space="preserve"> </v>
      </c>
      <c r="E112" s="59"/>
      <c r="F112" s="63"/>
    </row>
    <row r="113" spans="1:6" x14ac:dyDescent="0.25">
      <c r="A113" s="52">
        <f t="shared" si="3"/>
        <v>42614</v>
      </c>
      <c r="B113" s="56"/>
      <c r="C113" s="56"/>
      <c r="D113" s="89" t="str">
        <f t="shared" si="2"/>
        <v xml:space="preserve"> </v>
      </c>
      <c r="E113" s="59"/>
      <c r="F113" s="63"/>
    </row>
    <row r="114" spans="1:6" x14ac:dyDescent="0.25">
      <c r="A114" s="52">
        <f t="shared" si="3"/>
        <v>42583</v>
      </c>
      <c r="B114" s="56"/>
      <c r="C114" s="56"/>
      <c r="D114" s="89" t="str">
        <f t="shared" si="2"/>
        <v xml:space="preserve"> </v>
      </c>
      <c r="E114" s="59"/>
      <c r="F114" s="63"/>
    </row>
    <row r="115" spans="1:6" x14ac:dyDescent="0.25">
      <c r="A115" s="52">
        <f t="shared" si="3"/>
        <v>42552</v>
      </c>
      <c r="B115" s="56"/>
      <c r="C115" s="56"/>
      <c r="D115" s="89" t="str">
        <f t="shared" si="2"/>
        <v xml:space="preserve"> </v>
      </c>
      <c r="E115" s="59"/>
      <c r="F115" s="63"/>
    </row>
    <row r="116" spans="1:6" x14ac:dyDescent="0.25">
      <c r="A116" s="52">
        <f t="shared" si="3"/>
        <v>42522</v>
      </c>
      <c r="B116" s="56"/>
      <c r="C116" s="56"/>
      <c r="D116" s="89" t="str">
        <f t="shared" si="2"/>
        <v xml:space="preserve"> </v>
      </c>
      <c r="E116" s="59"/>
      <c r="F116" s="63"/>
    </row>
    <row r="117" spans="1:6" x14ac:dyDescent="0.25">
      <c r="A117" s="52">
        <f t="shared" si="3"/>
        <v>42491</v>
      </c>
      <c r="B117" s="56"/>
      <c r="C117" s="56"/>
      <c r="D117" s="89" t="str">
        <f t="shared" si="2"/>
        <v xml:space="preserve"> </v>
      </c>
      <c r="E117" s="59"/>
      <c r="F117" s="63"/>
    </row>
    <row r="118" spans="1:6" x14ac:dyDescent="0.25">
      <c r="A118" s="52">
        <f t="shared" si="3"/>
        <v>42461</v>
      </c>
      <c r="B118" s="56"/>
      <c r="C118" s="56"/>
      <c r="D118" s="89" t="str">
        <f t="shared" si="2"/>
        <v xml:space="preserve"> </v>
      </c>
      <c r="E118" s="59"/>
      <c r="F118" s="63"/>
    </row>
    <row r="119" spans="1:6" x14ac:dyDescent="0.25">
      <c r="A119" s="52">
        <f t="shared" si="3"/>
        <v>42430</v>
      </c>
      <c r="B119" s="56"/>
      <c r="C119" s="56"/>
      <c r="D119" s="89" t="str">
        <f t="shared" si="2"/>
        <v xml:space="preserve"> </v>
      </c>
      <c r="E119" s="59"/>
      <c r="F119" s="63"/>
    </row>
    <row r="120" spans="1:6" x14ac:dyDescent="0.25">
      <c r="A120" s="52">
        <f t="shared" si="3"/>
        <v>42401</v>
      </c>
      <c r="B120" s="56"/>
      <c r="C120" s="56"/>
      <c r="D120" s="89" t="str">
        <f t="shared" si="2"/>
        <v xml:space="preserve"> </v>
      </c>
      <c r="E120" s="59"/>
      <c r="F120" s="63"/>
    </row>
    <row r="121" spans="1:6" ht="13" thickBot="1" x14ac:dyDescent="0.3">
      <c r="A121" s="53">
        <f t="shared" si="3"/>
        <v>42370</v>
      </c>
      <c r="B121" s="57"/>
      <c r="C121" s="57"/>
      <c r="D121" s="90" t="str">
        <f t="shared" si="2"/>
        <v xml:space="preserve"> </v>
      </c>
      <c r="E121" s="60">
        <f>+SUM(B110:B121)</f>
        <v>0</v>
      </c>
      <c r="F121" s="64">
        <f>+SUM(C110:C121)</f>
        <v>0</v>
      </c>
    </row>
    <row r="122" spans="1:6" x14ac:dyDescent="0.25">
      <c r="A122" s="52">
        <f t="shared" si="3"/>
        <v>42339</v>
      </c>
      <c r="B122" s="56"/>
      <c r="C122" s="56"/>
      <c r="D122" s="89" t="str">
        <f t="shared" si="2"/>
        <v xml:space="preserve"> </v>
      </c>
      <c r="E122" s="59"/>
      <c r="F122" s="63"/>
    </row>
    <row r="123" spans="1:6" x14ac:dyDescent="0.25">
      <c r="A123" s="52">
        <f t="shared" si="3"/>
        <v>42309</v>
      </c>
      <c r="B123" s="56"/>
      <c r="C123" s="56"/>
      <c r="D123" s="89" t="str">
        <f t="shared" si="2"/>
        <v xml:space="preserve"> </v>
      </c>
      <c r="E123" s="59"/>
      <c r="F123" s="63"/>
    </row>
    <row r="124" spans="1:6" x14ac:dyDescent="0.25">
      <c r="A124" s="52">
        <f t="shared" si="3"/>
        <v>42278</v>
      </c>
      <c r="B124" s="56"/>
      <c r="C124" s="56"/>
      <c r="D124" s="89" t="str">
        <f t="shared" si="2"/>
        <v xml:space="preserve"> </v>
      </c>
      <c r="E124" s="59"/>
      <c r="F124" s="63"/>
    </row>
    <row r="125" spans="1:6" x14ac:dyDescent="0.25">
      <c r="A125" s="52">
        <f t="shared" si="3"/>
        <v>42248</v>
      </c>
      <c r="B125" s="56"/>
      <c r="C125" s="56"/>
      <c r="D125" s="89" t="str">
        <f t="shared" si="2"/>
        <v xml:space="preserve"> </v>
      </c>
      <c r="E125" s="59"/>
      <c r="F125" s="63"/>
    </row>
    <row r="126" spans="1:6" x14ac:dyDescent="0.25">
      <c r="A126" s="52">
        <f t="shared" si="3"/>
        <v>42217</v>
      </c>
      <c r="B126" s="56"/>
      <c r="C126" s="56"/>
      <c r="D126" s="89" t="str">
        <f t="shared" si="2"/>
        <v xml:space="preserve"> </v>
      </c>
      <c r="E126" s="59"/>
      <c r="F126" s="63"/>
    </row>
    <row r="127" spans="1:6" x14ac:dyDescent="0.25">
      <c r="A127" s="52">
        <f t="shared" si="3"/>
        <v>42186</v>
      </c>
      <c r="B127" s="56"/>
      <c r="C127" s="56"/>
      <c r="D127" s="89" t="str">
        <f t="shared" si="2"/>
        <v xml:space="preserve"> </v>
      </c>
      <c r="E127" s="59"/>
      <c r="F127" s="63"/>
    </row>
    <row r="128" spans="1:6" x14ac:dyDescent="0.25">
      <c r="A128" s="52">
        <f t="shared" si="3"/>
        <v>42156</v>
      </c>
      <c r="B128" s="56"/>
      <c r="C128" s="56"/>
      <c r="D128" s="89" t="str">
        <f t="shared" si="2"/>
        <v xml:space="preserve"> </v>
      </c>
      <c r="E128" s="59"/>
      <c r="F128" s="63"/>
    </row>
    <row r="129" spans="1:13" x14ac:dyDescent="0.25">
      <c r="A129" s="52">
        <f t="shared" si="3"/>
        <v>42125</v>
      </c>
      <c r="B129" s="56"/>
      <c r="C129" s="56"/>
      <c r="D129" s="89" t="str">
        <f t="shared" si="2"/>
        <v xml:space="preserve"> </v>
      </c>
      <c r="E129" s="59"/>
      <c r="F129" s="63"/>
    </row>
    <row r="130" spans="1:13" x14ac:dyDescent="0.25">
      <c r="A130" s="52">
        <f t="shared" si="3"/>
        <v>42095</v>
      </c>
      <c r="B130" s="56"/>
      <c r="C130" s="56"/>
      <c r="D130" s="89" t="str">
        <f t="shared" si="2"/>
        <v xml:space="preserve"> </v>
      </c>
      <c r="E130" s="59"/>
      <c r="F130" s="63"/>
    </row>
    <row r="131" spans="1:13" x14ac:dyDescent="0.25">
      <c r="A131" s="52">
        <f t="shared" si="3"/>
        <v>42064</v>
      </c>
      <c r="B131" s="56"/>
      <c r="C131" s="56"/>
      <c r="D131" s="89" t="str">
        <f t="shared" si="2"/>
        <v xml:space="preserve"> </v>
      </c>
      <c r="E131" s="59"/>
      <c r="F131" s="63"/>
    </row>
    <row r="132" spans="1:13" x14ac:dyDescent="0.25">
      <c r="A132" s="52">
        <f t="shared" si="3"/>
        <v>42036</v>
      </c>
      <c r="B132" s="56"/>
      <c r="C132" s="56"/>
      <c r="D132" s="89" t="str">
        <f t="shared" si="2"/>
        <v xml:space="preserve"> </v>
      </c>
      <c r="E132" s="59"/>
      <c r="F132" s="63"/>
    </row>
    <row r="133" spans="1:13" ht="13" thickBot="1" x14ac:dyDescent="0.3">
      <c r="A133" s="53">
        <f t="shared" si="3"/>
        <v>42005</v>
      </c>
      <c r="B133" s="57"/>
      <c r="C133" s="57"/>
      <c r="D133" s="90" t="str">
        <f t="shared" si="2"/>
        <v xml:space="preserve"> </v>
      </c>
      <c r="E133" s="60">
        <f>+SUM(B122:B133)</f>
        <v>0</v>
      </c>
      <c r="F133" s="64">
        <f>+SUM(C122:C133)</f>
        <v>0</v>
      </c>
    </row>
    <row r="135" spans="1:13" ht="13" x14ac:dyDescent="0.3">
      <c r="B135"/>
      <c r="C135" s="2"/>
      <c r="H135" s="17"/>
    </row>
    <row r="136" spans="1:13" ht="13" x14ac:dyDescent="0.3">
      <c r="A136" s="2" t="s">
        <v>14</v>
      </c>
      <c r="B136" s="2" t="s">
        <v>7</v>
      </c>
      <c r="C136" s="2"/>
    </row>
    <row r="137" spans="1:13" x14ac:dyDescent="0.25">
      <c r="A137" s="1">
        <f>+YEAR(B8)</f>
        <v>2025</v>
      </c>
      <c r="B137" s="21">
        <v>0.21</v>
      </c>
    </row>
    <row r="138" spans="1:13" x14ac:dyDescent="0.25">
      <c r="A138" s="1">
        <f>+A137-1</f>
        <v>2024</v>
      </c>
      <c r="B138" s="21">
        <v>0.21</v>
      </c>
    </row>
    <row r="139" spans="1:13" x14ac:dyDescent="0.25">
      <c r="A139" s="1">
        <f t="shared" ref="A139:A146" si="4">+A138-1</f>
        <v>2023</v>
      </c>
      <c r="B139" s="21">
        <v>0.21</v>
      </c>
    </row>
    <row r="140" spans="1:13" x14ac:dyDescent="0.25">
      <c r="A140" s="1">
        <f t="shared" si="4"/>
        <v>2022</v>
      </c>
      <c r="B140" s="21">
        <v>0.21</v>
      </c>
    </row>
    <row r="141" spans="1:13" x14ac:dyDescent="0.25">
      <c r="A141" s="1">
        <f t="shared" si="4"/>
        <v>2021</v>
      </c>
      <c r="B141" s="21">
        <v>0.21</v>
      </c>
      <c r="I141"/>
      <c r="K141"/>
      <c r="L141"/>
      <c r="M141"/>
    </row>
    <row r="142" spans="1:13" x14ac:dyDescent="0.25">
      <c r="A142" s="1">
        <f t="shared" si="4"/>
        <v>2020</v>
      </c>
      <c r="B142" s="21">
        <v>0.21</v>
      </c>
      <c r="I142"/>
      <c r="K142"/>
      <c r="L142"/>
      <c r="M142"/>
    </row>
    <row r="143" spans="1:13" x14ac:dyDescent="0.25">
      <c r="A143" s="1">
        <f t="shared" si="4"/>
        <v>2019</v>
      </c>
      <c r="B143" s="21">
        <v>0.21</v>
      </c>
    </row>
    <row r="144" spans="1:13" x14ac:dyDescent="0.25">
      <c r="A144" s="1">
        <f t="shared" si="4"/>
        <v>2018</v>
      </c>
      <c r="B144" s="21">
        <v>0.21</v>
      </c>
    </row>
    <row r="145" spans="1:4" x14ac:dyDescent="0.25">
      <c r="A145" s="1">
        <f t="shared" si="4"/>
        <v>2017</v>
      </c>
      <c r="B145" s="21">
        <v>0.2</v>
      </c>
    </row>
    <row r="146" spans="1:4" x14ac:dyDescent="0.25">
      <c r="A146" s="1">
        <f t="shared" si="4"/>
        <v>2016</v>
      </c>
      <c r="B146" s="21">
        <v>0.2</v>
      </c>
    </row>
    <row r="147" spans="1:4" x14ac:dyDescent="0.25">
      <c r="B147"/>
      <c r="C147"/>
    </row>
    <row r="148" spans="1:4" ht="13" x14ac:dyDescent="0.3">
      <c r="A148" s="11" t="s">
        <v>98</v>
      </c>
      <c r="C148" s="84"/>
      <c r="D148" s="94"/>
    </row>
    <row r="149" spans="1:4" ht="13" x14ac:dyDescent="0.3">
      <c r="A149" s="94" t="str">
        <f>" Per Plan Document Section 12.03(c), enter the value as of December 31, "&amp;WithdrawalYear-1&amp; " of all outstanding claims for withdrawal liability that can reasonably be expected"</f>
        <v xml:space="preserve"> Per Plan Document Section 12.03(c), enter the value as of December 31, 2024 of all outstanding claims for withdrawal liability that can reasonably be expected</v>
      </c>
    </row>
    <row r="150" spans="1:4" ht="13" x14ac:dyDescent="0.3">
      <c r="A150" s="94" t="str">
        <f>" to be collected from Participating Organizations who have withdrawn prior to January 1, "&amp;WithdrawalYear-1&amp;"."</f>
        <v xml:space="preserve"> to be collected from Participating Organizations who have withdrawn prior to January 1, 2024.</v>
      </c>
    </row>
    <row r="152" spans="1:4" ht="13" x14ac:dyDescent="0.3">
      <c r="A152" s="11" t="s">
        <v>99</v>
      </c>
      <c r="D152" s="84"/>
    </row>
    <row r="153" spans="1:4" ht="13" x14ac:dyDescent="0.3">
      <c r="A153" s="94" t="str">
        <f>" Per Plan Document Section 12.03(c)(2)(B), enter the total amount contributed to the Plan during "&amp;WithdrawalYear-5&amp;"-"&amp;WithdrawalYear-1&amp;" by SIGNIFICANT PARTICIPATING ORGANIZATIONS"</f>
        <v xml:space="preserve"> Per Plan Document Section 12.03(c)(2)(B), enter the total amount contributed to the Plan during 2020-2024 by SIGNIFICANT PARTICIPATING ORGANIZATIONS</v>
      </c>
    </row>
    <row r="154" spans="1:4" ht="13" x14ac:dyDescent="0.3">
      <c r="A154" s="94" t="str">
        <f>" who withdrew from the Plan during "&amp;WithdrawalYear-5&amp;"-"&amp;WithdrawalYear-1&amp;". Section 12.03(d) defines SIGNIFICANT PARTICIPATING ORGANIZATION."</f>
        <v xml:space="preserve"> who withdrew from the Plan during 2020-2024. Section 12.03(d) defines SIGNIFICANT PARTICIPATING ORGANIZATION.</v>
      </c>
    </row>
    <row r="155" spans="1:4" x14ac:dyDescent="0.25">
      <c r="A155" s="7"/>
    </row>
    <row r="156" spans="1:4" x14ac:dyDescent="0.25">
      <c r="A156" s="7"/>
    </row>
    <row r="157" spans="1:4" x14ac:dyDescent="0.25">
      <c r="A157" s="7"/>
    </row>
    <row r="158" spans="1:4" x14ac:dyDescent="0.25">
      <c r="A158" s="7"/>
    </row>
    <row r="159" spans="1:4" x14ac:dyDescent="0.25">
      <c r="A159" s="7"/>
    </row>
    <row r="160" spans="1:4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</sheetData>
  <mergeCells count="2">
    <mergeCell ref="B7:C7"/>
    <mergeCell ref="B8:C8"/>
  </mergeCells>
  <conditionalFormatting sqref="C137:C146">
    <cfRule type="cellIs" dxfId="0" priority="1" operator="equal">
      <formula>"CHECK INPUTS"</formula>
    </cfRule>
  </conditionalFormatting>
  <pageMargins left="0.25" right="0.25" top="0.75" bottom="0.75" header="0.3" footer="0.3"/>
  <pageSetup scale="67" fitToHeight="2" orientation="portrait" r:id="rId1"/>
  <headerFooter>
    <oddFooter>&amp;L&amp;Z&amp;F!&amp;A&amp;R&amp;D</oddFooter>
  </headerFooter>
  <rowBreaks count="2" manualBreakCount="2">
    <brk id="71" max="5" man="1"/>
    <brk id="13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D43"/>
  <sheetViews>
    <sheetView tabSelected="1" zoomScaleNormal="100" workbookViewId="0">
      <selection activeCell="B5" sqref="B5"/>
    </sheetView>
  </sheetViews>
  <sheetFormatPr defaultRowHeight="12.5" x14ac:dyDescent="0.25"/>
  <cols>
    <col min="1" max="1" width="25.453125" customWidth="1"/>
    <col min="2" max="2" width="41.54296875" customWidth="1"/>
    <col min="3" max="3" width="18.26953125" customWidth="1"/>
    <col min="4" max="4" width="8.81640625" customWidth="1"/>
    <col min="5" max="5" width="20.54296875" bestFit="1" customWidth="1"/>
    <col min="6" max="6" width="25.81640625" customWidth="1"/>
    <col min="7" max="7" width="19.26953125" customWidth="1"/>
  </cols>
  <sheetData>
    <row r="2" spans="1:4" ht="15.5" x14ac:dyDescent="0.35">
      <c r="A2" s="32" t="s">
        <v>15</v>
      </c>
    </row>
    <row r="3" spans="1:4" ht="15.5" x14ac:dyDescent="0.35">
      <c r="A3" s="32" t="str">
        <f>"Estimated Withdrawal Liability Calculation for Withdrawals in "&amp;WithdrawalYear</f>
        <v>Estimated Withdrawal Liability Calculation for Withdrawals in 2025</v>
      </c>
    </row>
    <row r="6" spans="1:4" ht="13" x14ac:dyDescent="0.3">
      <c r="A6" s="3" t="s">
        <v>0</v>
      </c>
      <c r="B6" s="97" t="s">
        <v>71</v>
      </c>
    </row>
    <row r="7" spans="1:4" ht="13" x14ac:dyDescent="0.3">
      <c r="A7" s="3" t="s">
        <v>1</v>
      </c>
      <c r="B7" s="98">
        <v>45689</v>
      </c>
      <c r="C7" s="4"/>
      <c r="D7" s="4"/>
    </row>
    <row r="9" spans="1:4" ht="13" x14ac:dyDescent="0.3">
      <c r="A9" s="2" t="s">
        <v>14</v>
      </c>
      <c r="B9" s="2" t="s">
        <v>103</v>
      </c>
      <c r="C9" s="2" t="s">
        <v>2</v>
      </c>
      <c r="D9" s="2"/>
    </row>
    <row r="10" spans="1:4" x14ac:dyDescent="0.25">
      <c r="A10" s="1">
        <f>+YEAR($B$7)-1</f>
        <v>2024</v>
      </c>
      <c r="B10" s="99">
        <v>75600</v>
      </c>
      <c r="C10" s="6">
        <v>83986293</v>
      </c>
      <c r="D10" s="6"/>
    </row>
    <row r="11" spans="1:4" x14ac:dyDescent="0.25">
      <c r="A11" s="1">
        <f>+A10-1</f>
        <v>2023</v>
      </c>
      <c r="B11" s="99">
        <v>63000</v>
      </c>
      <c r="C11" s="6">
        <v>75508693</v>
      </c>
      <c r="D11" s="6"/>
    </row>
    <row r="12" spans="1:4" x14ac:dyDescent="0.25">
      <c r="A12" s="1">
        <f t="shared" ref="A12:A14" si="0">+A11-1</f>
        <v>2022</v>
      </c>
      <c r="B12" s="99">
        <v>16800</v>
      </c>
      <c r="C12" s="6">
        <v>68682128</v>
      </c>
      <c r="D12" s="6"/>
    </row>
    <row r="13" spans="1:4" x14ac:dyDescent="0.25">
      <c r="A13" s="1">
        <f t="shared" si="0"/>
        <v>2021</v>
      </c>
      <c r="B13" s="99">
        <v>0</v>
      </c>
      <c r="C13" s="6">
        <v>64916498</v>
      </c>
      <c r="D13" s="6"/>
    </row>
    <row r="14" spans="1:4" x14ac:dyDescent="0.25">
      <c r="A14" s="1">
        <f t="shared" si="0"/>
        <v>2020</v>
      </c>
      <c r="B14" s="99">
        <v>0</v>
      </c>
      <c r="C14" s="6">
        <v>64979147</v>
      </c>
      <c r="D14" s="6"/>
    </row>
    <row r="15" spans="1:4" ht="13" x14ac:dyDescent="0.3">
      <c r="A15" s="2" t="s">
        <v>3</v>
      </c>
      <c r="B15" s="16">
        <f>ROUND(SUM(B10:B14),0)</f>
        <v>155400</v>
      </c>
      <c r="C15" s="16">
        <f>ROUND(SUM(C10:C14),0)</f>
        <v>358072759</v>
      </c>
      <c r="D15" s="16"/>
    </row>
    <row r="16" spans="1:4" x14ac:dyDescent="0.25">
      <c r="B16" s="6"/>
      <c r="C16" s="6"/>
      <c r="D16" s="6"/>
    </row>
    <row r="17" spans="1:4" x14ac:dyDescent="0.25">
      <c r="A17" t="s">
        <v>100</v>
      </c>
      <c r="B17" s="6"/>
      <c r="D17" s="6"/>
    </row>
    <row r="18" spans="1:4" x14ac:dyDescent="0.25">
      <c r="A18" s="7" t="s">
        <v>101</v>
      </c>
      <c r="B18" s="6"/>
      <c r="C18" s="8">
        <v>0</v>
      </c>
      <c r="D18" s="6"/>
    </row>
    <row r="19" spans="1:4" ht="13" x14ac:dyDescent="0.3">
      <c r="A19" s="7" t="s">
        <v>102</v>
      </c>
      <c r="B19" s="7"/>
      <c r="C19" s="83">
        <f>IF(YEAR($B$7)=WithdrawalYear,ROUND(B15/(C15-C18),10),"Error - Withdrawal Not in "&amp;WithdrawalYear)</f>
        <v>4.3398999999999998E-4</v>
      </c>
      <c r="D19" s="5"/>
    </row>
    <row r="20" spans="1:4" x14ac:dyDescent="0.25">
      <c r="A20" s="7" t="str">
        <f>"Plan's Unfunded Vested Benefits (UVB) as of December 31, "&amp;YEAR($B$7)-1</f>
        <v>Plan's Unfunded Vested Benefits (UVB) as of December 31, 2024</v>
      </c>
      <c r="B20" s="7"/>
      <c r="C20" s="23">
        <f>IF(YEAR($B$7)=WithdrawalYear,UnfundedPVVB,"Error - Withdrawal Not in "&amp;WithdrawalYear)</f>
        <v>146800029</v>
      </c>
      <c r="D20" s="23"/>
    </row>
    <row r="21" spans="1:4" x14ac:dyDescent="0.25">
      <c r="A21" s="7" t="s">
        <v>84</v>
      </c>
      <c r="B21" s="7"/>
      <c r="D21" s="23"/>
    </row>
    <row r="22" spans="1:4" x14ac:dyDescent="0.25">
      <c r="A22" s="7" t="s">
        <v>83</v>
      </c>
      <c r="B22" s="7"/>
      <c r="C22" s="23">
        <v>0</v>
      </c>
      <c r="D22" s="23"/>
    </row>
    <row r="23" spans="1:4" x14ac:dyDescent="0.25">
      <c r="A23" t="s">
        <v>82</v>
      </c>
      <c r="B23" s="7"/>
      <c r="C23" s="8">
        <f>IF(YEAR($B$7)=WithdrawalYear,ROUND(C19*(C20-C22),0),"Error - Withdrawal Not in "&amp;WithdrawalYear)</f>
        <v>63710</v>
      </c>
      <c r="D23" s="8"/>
    </row>
    <row r="24" spans="1:4" x14ac:dyDescent="0.25">
      <c r="A24" t="s">
        <v>35</v>
      </c>
      <c r="B24" s="9"/>
      <c r="C24" s="10">
        <f>IF(YEAR($B$7)=WithdrawalYear,IF(C23&gt;=150000,0,IF(C23&gt;=100000,150000-C23,MIN(C23,50000))),"Error - Withdrawal Not in "&amp;WithdrawalYear)</f>
        <v>50000</v>
      </c>
      <c r="D24" s="10"/>
    </row>
    <row r="25" spans="1:4" ht="13" x14ac:dyDescent="0.3">
      <c r="A25" s="3" t="s">
        <v>52</v>
      </c>
      <c r="B25" s="11"/>
      <c r="D25" s="12"/>
    </row>
    <row r="26" spans="1:4" ht="13" x14ac:dyDescent="0.3">
      <c r="A26" s="3" t="s">
        <v>104</v>
      </c>
      <c r="B26" s="11"/>
      <c r="C26" s="12">
        <f>IF(YEAR($B$7)=WithdrawalYear,C23-C24,"Error - Withdrawal Not in "&amp;WithdrawalYear)</f>
        <v>13710</v>
      </c>
      <c r="D26" s="12"/>
    </row>
    <row r="27" spans="1:4" ht="13" x14ac:dyDescent="0.3">
      <c r="B27" s="11"/>
      <c r="C27" s="12"/>
      <c r="D27" s="12"/>
    </row>
    <row r="29" spans="1:4" ht="13" x14ac:dyDescent="0.3">
      <c r="B29" s="3"/>
    </row>
    <row r="30" spans="1:4" x14ac:dyDescent="0.25">
      <c r="C30" s="24"/>
      <c r="D30" s="24"/>
    </row>
    <row r="31" spans="1:4" x14ac:dyDescent="0.25">
      <c r="C31" s="14"/>
      <c r="D31" s="25"/>
    </row>
    <row r="32" spans="1:4" x14ac:dyDescent="0.25">
      <c r="C32" s="15"/>
      <c r="D32" s="15"/>
    </row>
    <row r="33" spans="2:4" x14ac:dyDescent="0.25">
      <c r="C33" s="13"/>
      <c r="D33" s="13"/>
    </row>
    <row r="34" spans="2:4" x14ac:dyDescent="0.25">
      <c r="C34" s="14"/>
      <c r="D34" s="14"/>
    </row>
    <row r="35" spans="2:4" x14ac:dyDescent="0.25">
      <c r="C35" s="13"/>
      <c r="D35" s="13"/>
    </row>
    <row r="36" spans="2:4" x14ac:dyDescent="0.25">
      <c r="C36" s="13"/>
      <c r="D36" s="13"/>
    </row>
    <row r="37" spans="2:4" x14ac:dyDescent="0.25">
      <c r="C37" s="14"/>
      <c r="D37" s="14"/>
    </row>
    <row r="38" spans="2:4" x14ac:dyDescent="0.25">
      <c r="C38" s="14"/>
      <c r="D38" s="14"/>
    </row>
    <row r="39" spans="2:4" ht="13" x14ac:dyDescent="0.3">
      <c r="B39" s="3"/>
      <c r="D39" s="14"/>
    </row>
    <row r="41" spans="2:4" x14ac:dyDescent="0.25">
      <c r="C41" s="15"/>
    </row>
    <row r="42" spans="2:4" x14ac:dyDescent="0.25">
      <c r="C42" s="15"/>
      <c r="D42" s="15"/>
    </row>
    <row r="43" spans="2:4" x14ac:dyDescent="0.25">
      <c r="D43" s="15"/>
    </row>
  </sheetData>
  <sheetProtection algorithmName="SHA-512" hashValue="azpft1clUOzSm+nNwCYr3pp1E/xg35UsoV3DL75v3xHT0sHTfNbFitNZIQxJcIV6zEsjEBmwkQGgzuYDXZBr5A==" saltValue="ZQyt2VlWdjiHP7Gms0vsjA==" spinCount="100000" sheet="1" objects="1" scenarios="1"/>
  <pageMargins left="0.25" right="0.25" top="0.75" bottom="0.75" header="0.3" footer="0.3"/>
  <pageSetup orientation="landscape" r:id="rId1"/>
  <headerFooter>
    <oddFooter>&amp;L&amp;Z&amp;F!&amp;A&amp;R&amp;D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"/>
  <sheetViews>
    <sheetView zoomScaleNormal="100" workbookViewId="0">
      <selection activeCell="G7" sqref="G7"/>
    </sheetView>
  </sheetViews>
  <sheetFormatPr defaultRowHeight="12.5" x14ac:dyDescent="0.25"/>
  <cols>
    <col min="1" max="1" width="6.1796875" customWidth="1"/>
    <col min="2" max="2" width="14.453125" customWidth="1"/>
    <col min="3" max="3" width="13.453125" customWidth="1"/>
    <col min="4" max="4" width="6.7265625" customWidth="1"/>
    <col min="5" max="5" width="12.453125" customWidth="1"/>
    <col min="6" max="6" width="17" customWidth="1"/>
    <col min="7" max="7" width="17.1796875" customWidth="1"/>
    <col min="8" max="8" width="11.26953125" bestFit="1" customWidth="1"/>
    <col min="9" max="9" width="11.26953125" customWidth="1"/>
    <col min="10" max="10" width="21.453125" bestFit="1" customWidth="1"/>
    <col min="11" max="11" width="18" customWidth="1"/>
    <col min="12" max="12" width="17.7265625" style="1" bestFit="1" customWidth="1"/>
    <col min="13" max="13" width="21.453125" bestFit="1" customWidth="1"/>
    <col min="14" max="14" width="16.453125" customWidth="1"/>
    <col min="258" max="258" width="11.453125" customWidth="1"/>
    <col min="259" max="259" width="11.7265625" customWidth="1"/>
    <col min="260" max="260" width="10.7265625" customWidth="1"/>
    <col min="261" max="261" width="11.453125" customWidth="1"/>
    <col min="262" max="262" width="13.453125" customWidth="1"/>
    <col min="263" max="263" width="13.26953125" customWidth="1"/>
    <col min="264" max="264" width="10.26953125" customWidth="1"/>
    <col min="265" max="265" width="11.26953125" customWidth="1"/>
    <col min="267" max="267" width="10.26953125" bestFit="1" customWidth="1"/>
    <col min="514" max="514" width="11.453125" customWidth="1"/>
    <col min="515" max="515" width="11.7265625" customWidth="1"/>
    <col min="516" max="516" width="10.7265625" customWidth="1"/>
    <col min="517" max="517" width="11.453125" customWidth="1"/>
    <col min="518" max="518" width="13.453125" customWidth="1"/>
    <col min="519" max="519" width="13.26953125" customWidth="1"/>
    <col min="520" max="520" width="10.26953125" customWidth="1"/>
    <col min="521" max="521" width="11.26953125" customWidth="1"/>
    <col min="523" max="523" width="10.26953125" bestFit="1" customWidth="1"/>
    <col min="770" max="770" width="11.453125" customWidth="1"/>
    <col min="771" max="771" width="11.7265625" customWidth="1"/>
    <col min="772" max="772" width="10.7265625" customWidth="1"/>
    <col min="773" max="773" width="11.453125" customWidth="1"/>
    <col min="774" max="774" width="13.453125" customWidth="1"/>
    <col min="775" max="775" width="13.26953125" customWidth="1"/>
    <col min="776" max="776" width="10.26953125" customWidth="1"/>
    <col min="777" max="777" width="11.26953125" customWidth="1"/>
    <col min="779" max="779" width="10.26953125" bestFit="1" customWidth="1"/>
    <col min="1026" max="1026" width="11.453125" customWidth="1"/>
    <col min="1027" max="1027" width="11.7265625" customWidth="1"/>
    <col min="1028" max="1028" width="10.7265625" customWidth="1"/>
    <col min="1029" max="1029" width="11.453125" customWidth="1"/>
    <col min="1030" max="1030" width="13.453125" customWidth="1"/>
    <col min="1031" max="1031" width="13.26953125" customWidth="1"/>
    <col min="1032" max="1032" width="10.26953125" customWidth="1"/>
    <col min="1033" max="1033" width="11.26953125" customWidth="1"/>
    <col min="1035" max="1035" width="10.26953125" bestFit="1" customWidth="1"/>
    <col min="1282" max="1282" width="11.453125" customWidth="1"/>
    <col min="1283" max="1283" width="11.7265625" customWidth="1"/>
    <col min="1284" max="1284" width="10.7265625" customWidth="1"/>
    <col min="1285" max="1285" width="11.453125" customWidth="1"/>
    <col min="1286" max="1286" width="13.453125" customWidth="1"/>
    <col min="1287" max="1287" width="13.26953125" customWidth="1"/>
    <col min="1288" max="1288" width="10.26953125" customWidth="1"/>
    <col min="1289" max="1289" width="11.26953125" customWidth="1"/>
    <col min="1291" max="1291" width="10.26953125" bestFit="1" customWidth="1"/>
    <col min="1538" max="1538" width="11.453125" customWidth="1"/>
    <col min="1539" max="1539" width="11.7265625" customWidth="1"/>
    <col min="1540" max="1540" width="10.7265625" customWidth="1"/>
    <col min="1541" max="1541" width="11.453125" customWidth="1"/>
    <col min="1542" max="1542" width="13.453125" customWidth="1"/>
    <col min="1543" max="1543" width="13.26953125" customWidth="1"/>
    <col min="1544" max="1544" width="10.26953125" customWidth="1"/>
    <col min="1545" max="1545" width="11.26953125" customWidth="1"/>
    <col min="1547" max="1547" width="10.26953125" bestFit="1" customWidth="1"/>
    <col min="1794" max="1794" width="11.453125" customWidth="1"/>
    <col min="1795" max="1795" width="11.7265625" customWidth="1"/>
    <col min="1796" max="1796" width="10.7265625" customWidth="1"/>
    <col min="1797" max="1797" width="11.453125" customWidth="1"/>
    <col min="1798" max="1798" width="13.453125" customWidth="1"/>
    <col min="1799" max="1799" width="13.26953125" customWidth="1"/>
    <col min="1800" max="1800" width="10.26953125" customWidth="1"/>
    <col min="1801" max="1801" width="11.26953125" customWidth="1"/>
    <col min="1803" max="1803" width="10.26953125" bestFit="1" customWidth="1"/>
    <col min="2050" max="2050" width="11.453125" customWidth="1"/>
    <col min="2051" max="2051" width="11.7265625" customWidth="1"/>
    <col min="2052" max="2052" width="10.7265625" customWidth="1"/>
    <col min="2053" max="2053" width="11.453125" customWidth="1"/>
    <col min="2054" max="2054" width="13.453125" customWidth="1"/>
    <col min="2055" max="2055" width="13.26953125" customWidth="1"/>
    <col min="2056" max="2056" width="10.26953125" customWidth="1"/>
    <col min="2057" max="2057" width="11.26953125" customWidth="1"/>
    <col min="2059" max="2059" width="10.26953125" bestFit="1" customWidth="1"/>
    <col min="2306" max="2306" width="11.453125" customWidth="1"/>
    <col min="2307" max="2307" width="11.7265625" customWidth="1"/>
    <col min="2308" max="2308" width="10.7265625" customWidth="1"/>
    <col min="2309" max="2309" width="11.453125" customWidth="1"/>
    <col min="2310" max="2310" width="13.453125" customWidth="1"/>
    <col min="2311" max="2311" width="13.26953125" customWidth="1"/>
    <col min="2312" max="2312" width="10.26953125" customWidth="1"/>
    <col min="2313" max="2313" width="11.26953125" customWidth="1"/>
    <col min="2315" max="2315" width="10.26953125" bestFit="1" customWidth="1"/>
    <col min="2562" max="2562" width="11.453125" customWidth="1"/>
    <col min="2563" max="2563" width="11.7265625" customWidth="1"/>
    <col min="2564" max="2564" width="10.7265625" customWidth="1"/>
    <col min="2565" max="2565" width="11.453125" customWidth="1"/>
    <col min="2566" max="2566" width="13.453125" customWidth="1"/>
    <col min="2567" max="2567" width="13.26953125" customWidth="1"/>
    <col min="2568" max="2568" width="10.26953125" customWidth="1"/>
    <col min="2569" max="2569" width="11.26953125" customWidth="1"/>
    <col min="2571" max="2571" width="10.26953125" bestFit="1" customWidth="1"/>
    <col min="2818" max="2818" width="11.453125" customWidth="1"/>
    <col min="2819" max="2819" width="11.7265625" customWidth="1"/>
    <col min="2820" max="2820" width="10.7265625" customWidth="1"/>
    <col min="2821" max="2821" width="11.453125" customWidth="1"/>
    <col min="2822" max="2822" width="13.453125" customWidth="1"/>
    <col min="2823" max="2823" width="13.26953125" customWidth="1"/>
    <col min="2824" max="2824" width="10.26953125" customWidth="1"/>
    <col min="2825" max="2825" width="11.26953125" customWidth="1"/>
    <col min="2827" max="2827" width="10.26953125" bestFit="1" customWidth="1"/>
    <col min="3074" max="3074" width="11.453125" customWidth="1"/>
    <col min="3075" max="3075" width="11.7265625" customWidth="1"/>
    <col min="3076" max="3076" width="10.7265625" customWidth="1"/>
    <col min="3077" max="3077" width="11.453125" customWidth="1"/>
    <col min="3078" max="3078" width="13.453125" customWidth="1"/>
    <col min="3079" max="3079" width="13.26953125" customWidth="1"/>
    <col min="3080" max="3080" width="10.26953125" customWidth="1"/>
    <col min="3081" max="3081" width="11.26953125" customWidth="1"/>
    <col min="3083" max="3083" width="10.26953125" bestFit="1" customWidth="1"/>
    <col min="3330" max="3330" width="11.453125" customWidth="1"/>
    <col min="3331" max="3331" width="11.7265625" customWidth="1"/>
    <col min="3332" max="3332" width="10.7265625" customWidth="1"/>
    <col min="3333" max="3333" width="11.453125" customWidth="1"/>
    <col min="3334" max="3334" width="13.453125" customWidth="1"/>
    <col min="3335" max="3335" width="13.26953125" customWidth="1"/>
    <col min="3336" max="3336" width="10.26953125" customWidth="1"/>
    <col min="3337" max="3337" width="11.26953125" customWidth="1"/>
    <col min="3339" max="3339" width="10.26953125" bestFit="1" customWidth="1"/>
    <col min="3586" max="3586" width="11.453125" customWidth="1"/>
    <col min="3587" max="3587" width="11.7265625" customWidth="1"/>
    <col min="3588" max="3588" width="10.7265625" customWidth="1"/>
    <col min="3589" max="3589" width="11.453125" customWidth="1"/>
    <col min="3590" max="3590" width="13.453125" customWidth="1"/>
    <col min="3591" max="3591" width="13.26953125" customWidth="1"/>
    <col min="3592" max="3592" width="10.26953125" customWidth="1"/>
    <col min="3593" max="3593" width="11.26953125" customWidth="1"/>
    <col min="3595" max="3595" width="10.26953125" bestFit="1" customWidth="1"/>
    <col min="3842" max="3842" width="11.453125" customWidth="1"/>
    <col min="3843" max="3843" width="11.7265625" customWidth="1"/>
    <col min="3844" max="3844" width="10.7265625" customWidth="1"/>
    <col min="3845" max="3845" width="11.453125" customWidth="1"/>
    <col min="3846" max="3846" width="13.453125" customWidth="1"/>
    <col min="3847" max="3847" width="13.26953125" customWidth="1"/>
    <col min="3848" max="3848" width="10.26953125" customWidth="1"/>
    <col min="3849" max="3849" width="11.26953125" customWidth="1"/>
    <col min="3851" max="3851" width="10.26953125" bestFit="1" customWidth="1"/>
    <col min="4098" max="4098" width="11.453125" customWidth="1"/>
    <col min="4099" max="4099" width="11.7265625" customWidth="1"/>
    <col min="4100" max="4100" width="10.7265625" customWidth="1"/>
    <col min="4101" max="4101" width="11.453125" customWidth="1"/>
    <col min="4102" max="4102" width="13.453125" customWidth="1"/>
    <col min="4103" max="4103" width="13.26953125" customWidth="1"/>
    <col min="4104" max="4104" width="10.26953125" customWidth="1"/>
    <col min="4105" max="4105" width="11.26953125" customWidth="1"/>
    <col min="4107" max="4107" width="10.26953125" bestFit="1" customWidth="1"/>
    <col min="4354" max="4354" width="11.453125" customWidth="1"/>
    <col min="4355" max="4355" width="11.7265625" customWidth="1"/>
    <col min="4356" max="4356" width="10.7265625" customWidth="1"/>
    <col min="4357" max="4357" width="11.453125" customWidth="1"/>
    <col min="4358" max="4358" width="13.453125" customWidth="1"/>
    <col min="4359" max="4359" width="13.26953125" customWidth="1"/>
    <col min="4360" max="4360" width="10.26953125" customWidth="1"/>
    <col min="4361" max="4361" width="11.26953125" customWidth="1"/>
    <col min="4363" max="4363" width="10.26953125" bestFit="1" customWidth="1"/>
    <col min="4610" max="4610" width="11.453125" customWidth="1"/>
    <col min="4611" max="4611" width="11.7265625" customWidth="1"/>
    <col min="4612" max="4612" width="10.7265625" customWidth="1"/>
    <col min="4613" max="4613" width="11.453125" customWidth="1"/>
    <col min="4614" max="4614" width="13.453125" customWidth="1"/>
    <col min="4615" max="4615" width="13.26953125" customWidth="1"/>
    <col min="4616" max="4616" width="10.26953125" customWidth="1"/>
    <col min="4617" max="4617" width="11.26953125" customWidth="1"/>
    <col min="4619" max="4619" width="10.26953125" bestFit="1" customWidth="1"/>
    <col min="4866" max="4866" width="11.453125" customWidth="1"/>
    <col min="4867" max="4867" width="11.7265625" customWidth="1"/>
    <col min="4868" max="4868" width="10.7265625" customWidth="1"/>
    <col min="4869" max="4869" width="11.453125" customWidth="1"/>
    <col min="4870" max="4870" width="13.453125" customWidth="1"/>
    <col min="4871" max="4871" width="13.26953125" customWidth="1"/>
    <col min="4872" max="4872" width="10.26953125" customWidth="1"/>
    <col min="4873" max="4873" width="11.26953125" customWidth="1"/>
    <col min="4875" max="4875" width="10.26953125" bestFit="1" customWidth="1"/>
    <col min="5122" max="5122" width="11.453125" customWidth="1"/>
    <col min="5123" max="5123" width="11.7265625" customWidth="1"/>
    <col min="5124" max="5124" width="10.7265625" customWidth="1"/>
    <col min="5125" max="5125" width="11.453125" customWidth="1"/>
    <col min="5126" max="5126" width="13.453125" customWidth="1"/>
    <col min="5127" max="5127" width="13.26953125" customWidth="1"/>
    <col min="5128" max="5128" width="10.26953125" customWidth="1"/>
    <col min="5129" max="5129" width="11.26953125" customWidth="1"/>
    <col min="5131" max="5131" width="10.26953125" bestFit="1" customWidth="1"/>
    <col min="5378" max="5378" width="11.453125" customWidth="1"/>
    <col min="5379" max="5379" width="11.7265625" customWidth="1"/>
    <col min="5380" max="5380" width="10.7265625" customWidth="1"/>
    <col min="5381" max="5381" width="11.453125" customWidth="1"/>
    <col min="5382" max="5382" width="13.453125" customWidth="1"/>
    <col min="5383" max="5383" width="13.26953125" customWidth="1"/>
    <col min="5384" max="5384" width="10.26953125" customWidth="1"/>
    <col min="5385" max="5385" width="11.26953125" customWidth="1"/>
    <col min="5387" max="5387" width="10.26953125" bestFit="1" customWidth="1"/>
    <col min="5634" max="5634" width="11.453125" customWidth="1"/>
    <col min="5635" max="5635" width="11.7265625" customWidth="1"/>
    <col min="5636" max="5636" width="10.7265625" customWidth="1"/>
    <col min="5637" max="5637" width="11.453125" customWidth="1"/>
    <col min="5638" max="5638" width="13.453125" customWidth="1"/>
    <col min="5639" max="5639" width="13.26953125" customWidth="1"/>
    <col min="5640" max="5640" width="10.26953125" customWidth="1"/>
    <col min="5641" max="5641" width="11.26953125" customWidth="1"/>
    <col min="5643" max="5643" width="10.26953125" bestFit="1" customWidth="1"/>
    <col min="5890" max="5890" width="11.453125" customWidth="1"/>
    <col min="5891" max="5891" width="11.7265625" customWidth="1"/>
    <col min="5892" max="5892" width="10.7265625" customWidth="1"/>
    <col min="5893" max="5893" width="11.453125" customWidth="1"/>
    <col min="5894" max="5894" width="13.453125" customWidth="1"/>
    <col min="5895" max="5895" width="13.26953125" customWidth="1"/>
    <col min="5896" max="5896" width="10.26953125" customWidth="1"/>
    <col min="5897" max="5897" width="11.26953125" customWidth="1"/>
    <col min="5899" max="5899" width="10.26953125" bestFit="1" customWidth="1"/>
    <col min="6146" max="6146" width="11.453125" customWidth="1"/>
    <col min="6147" max="6147" width="11.7265625" customWidth="1"/>
    <col min="6148" max="6148" width="10.7265625" customWidth="1"/>
    <col min="6149" max="6149" width="11.453125" customWidth="1"/>
    <col min="6150" max="6150" width="13.453125" customWidth="1"/>
    <col min="6151" max="6151" width="13.26953125" customWidth="1"/>
    <col min="6152" max="6152" width="10.26953125" customWidth="1"/>
    <col min="6153" max="6153" width="11.26953125" customWidth="1"/>
    <col min="6155" max="6155" width="10.26953125" bestFit="1" customWidth="1"/>
    <col min="6402" max="6402" width="11.453125" customWidth="1"/>
    <col min="6403" max="6403" width="11.7265625" customWidth="1"/>
    <col min="6404" max="6404" width="10.7265625" customWidth="1"/>
    <col min="6405" max="6405" width="11.453125" customWidth="1"/>
    <col min="6406" max="6406" width="13.453125" customWidth="1"/>
    <col min="6407" max="6407" width="13.26953125" customWidth="1"/>
    <col min="6408" max="6408" width="10.26953125" customWidth="1"/>
    <col min="6409" max="6409" width="11.26953125" customWidth="1"/>
    <col min="6411" max="6411" width="10.26953125" bestFit="1" customWidth="1"/>
    <col min="6658" max="6658" width="11.453125" customWidth="1"/>
    <col min="6659" max="6659" width="11.7265625" customWidth="1"/>
    <col min="6660" max="6660" width="10.7265625" customWidth="1"/>
    <col min="6661" max="6661" width="11.453125" customWidth="1"/>
    <col min="6662" max="6662" width="13.453125" customWidth="1"/>
    <col min="6663" max="6663" width="13.26953125" customWidth="1"/>
    <col min="6664" max="6664" width="10.26953125" customWidth="1"/>
    <col min="6665" max="6665" width="11.26953125" customWidth="1"/>
    <col min="6667" max="6667" width="10.26953125" bestFit="1" customWidth="1"/>
    <col min="6914" max="6914" width="11.453125" customWidth="1"/>
    <col min="6915" max="6915" width="11.7265625" customWidth="1"/>
    <col min="6916" max="6916" width="10.7265625" customWidth="1"/>
    <col min="6917" max="6917" width="11.453125" customWidth="1"/>
    <col min="6918" max="6918" width="13.453125" customWidth="1"/>
    <col min="6919" max="6919" width="13.26953125" customWidth="1"/>
    <col min="6920" max="6920" width="10.26953125" customWidth="1"/>
    <col min="6921" max="6921" width="11.26953125" customWidth="1"/>
    <col min="6923" max="6923" width="10.26953125" bestFit="1" customWidth="1"/>
    <col min="7170" max="7170" width="11.453125" customWidth="1"/>
    <col min="7171" max="7171" width="11.7265625" customWidth="1"/>
    <col min="7172" max="7172" width="10.7265625" customWidth="1"/>
    <col min="7173" max="7173" width="11.453125" customWidth="1"/>
    <col min="7174" max="7174" width="13.453125" customWidth="1"/>
    <col min="7175" max="7175" width="13.26953125" customWidth="1"/>
    <col min="7176" max="7176" width="10.26953125" customWidth="1"/>
    <col min="7177" max="7177" width="11.26953125" customWidth="1"/>
    <col min="7179" max="7179" width="10.26953125" bestFit="1" customWidth="1"/>
    <col min="7426" max="7426" width="11.453125" customWidth="1"/>
    <col min="7427" max="7427" width="11.7265625" customWidth="1"/>
    <col min="7428" max="7428" width="10.7265625" customWidth="1"/>
    <col min="7429" max="7429" width="11.453125" customWidth="1"/>
    <col min="7430" max="7430" width="13.453125" customWidth="1"/>
    <col min="7431" max="7431" width="13.26953125" customWidth="1"/>
    <col min="7432" max="7432" width="10.26953125" customWidth="1"/>
    <col min="7433" max="7433" width="11.26953125" customWidth="1"/>
    <col min="7435" max="7435" width="10.26953125" bestFit="1" customWidth="1"/>
    <col min="7682" max="7682" width="11.453125" customWidth="1"/>
    <col min="7683" max="7683" width="11.7265625" customWidth="1"/>
    <col min="7684" max="7684" width="10.7265625" customWidth="1"/>
    <col min="7685" max="7685" width="11.453125" customWidth="1"/>
    <col min="7686" max="7686" width="13.453125" customWidth="1"/>
    <col min="7687" max="7687" width="13.26953125" customWidth="1"/>
    <col min="7688" max="7688" width="10.26953125" customWidth="1"/>
    <col min="7689" max="7689" width="11.26953125" customWidth="1"/>
    <col min="7691" max="7691" width="10.26953125" bestFit="1" customWidth="1"/>
    <col min="7938" max="7938" width="11.453125" customWidth="1"/>
    <col min="7939" max="7939" width="11.7265625" customWidth="1"/>
    <col min="7940" max="7940" width="10.7265625" customWidth="1"/>
    <col min="7941" max="7941" width="11.453125" customWidth="1"/>
    <col min="7942" max="7942" width="13.453125" customWidth="1"/>
    <col min="7943" max="7943" width="13.26953125" customWidth="1"/>
    <col min="7944" max="7944" width="10.26953125" customWidth="1"/>
    <col min="7945" max="7945" width="11.26953125" customWidth="1"/>
    <col min="7947" max="7947" width="10.26953125" bestFit="1" customWidth="1"/>
    <col min="8194" max="8194" width="11.453125" customWidth="1"/>
    <col min="8195" max="8195" width="11.7265625" customWidth="1"/>
    <col min="8196" max="8196" width="10.7265625" customWidth="1"/>
    <col min="8197" max="8197" width="11.453125" customWidth="1"/>
    <col min="8198" max="8198" width="13.453125" customWidth="1"/>
    <col min="8199" max="8199" width="13.26953125" customWidth="1"/>
    <col min="8200" max="8200" width="10.26953125" customWidth="1"/>
    <col min="8201" max="8201" width="11.26953125" customWidth="1"/>
    <col min="8203" max="8203" width="10.26953125" bestFit="1" customWidth="1"/>
    <col min="8450" max="8450" width="11.453125" customWidth="1"/>
    <col min="8451" max="8451" width="11.7265625" customWidth="1"/>
    <col min="8452" max="8452" width="10.7265625" customWidth="1"/>
    <col min="8453" max="8453" width="11.453125" customWidth="1"/>
    <col min="8454" max="8454" width="13.453125" customWidth="1"/>
    <col min="8455" max="8455" width="13.26953125" customWidth="1"/>
    <col min="8456" max="8456" width="10.26953125" customWidth="1"/>
    <col min="8457" max="8457" width="11.26953125" customWidth="1"/>
    <col min="8459" max="8459" width="10.26953125" bestFit="1" customWidth="1"/>
    <col min="8706" max="8706" width="11.453125" customWidth="1"/>
    <col min="8707" max="8707" width="11.7265625" customWidth="1"/>
    <col min="8708" max="8708" width="10.7265625" customWidth="1"/>
    <col min="8709" max="8709" width="11.453125" customWidth="1"/>
    <col min="8710" max="8710" width="13.453125" customWidth="1"/>
    <col min="8711" max="8711" width="13.26953125" customWidth="1"/>
    <col min="8712" max="8712" width="10.26953125" customWidth="1"/>
    <col min="8713" max="8713" width="11.26953125" customWidth="1"/>
    <col min="8715" max="8715" width="10.26953125" bestFit="1" customWidth="1"/>
    <col min="8962" max="8962" width="11.453125" customWidth="1"/>
    <col min="8963" max="8963" width="11.7265625" customWidth="1"/>
    <col min="8964" max="8964" width="10.7265625" customWidth="1"/>
    <col min="8965" max="8965" width="11.453125" customWidth="1"/>
    <col min="8966" max="8966" width="13.453125" customWidth="1"/>
    <col min="8967" max="8967" width="13.26953125" customWidth="1"/>
    <col min="8968" max="8968" width="10.26953125" customWidth="1"/>
    <col min="8969" max="8969" width="11.26953125" customWidth="1"/>
    <col min="8971" max="8971" width="10.26953125" bestFit="1" customWidth="1"/>
    <col min="9218" max="9218" width="11.453125" customWidth="1"/>
    <col min="9219" max="9219" width="11.7265625" customWidth="1"/>
    <col min="9220" max="9220" width="10.7265625" customWidth="1"/>
    <col min="9221" max="9221" width="11.453125" customWidth="1"/>
    <col min="9222" max="9222" width="13.453125" customWidth="1"/>
    <col min="9223" max="9223" width="13.26953125" customWidth="1"/>
    <col min="9224" max="9224" width="10.26953125" customWidth="1"/>
    <col min="9225" max="9225" width="11.26953125" customWidth="1"/>
    <col min="9227" max="9227" width="10.26953125" bestFit="1" customWidth="1"/>
    <col min="9474" max="9474" width="11.453125" customWidth="1"/>
    <col min="9475" max="9475" width="11.7265625" customWidth="1"/>
    <col min="9476" max="9476" width="10.7265625" customWidth="1"/>
    <col min="9477" max="9477" width="11.453125" customWidth="1"/>
    <col min="9478" max="9478" width="13.453125" customWidth="1"/>
    <col min="9479" max="9479" width="13.26953125" customWidth="1"/>
    <col min="9480" max="9480" width="10.26953125" customWidth="1"/>
    <col min="9481" max="9481" width="11.26953125" customWidth="1"/>
    <col min="9483" max="9483" width="10.26953125" bestFit="1" customWidth="1"/>
    <col min="9730" max="9730" width="11.453125" customWidth="1"/>
    <col min="9731" max="9731" width="11.7265625" customWidth="1"/>
    <col min="9732" max="9732" width="10.7265625" customWidth="1"/>
    <col min="9733" max="9733" width="11.453125" customWidth="1"/>
    <col min="9734" max="9734" width="13.453125" customWidth="1"/>
    <col min="9735" max="9735" width="13.26953125" customWidth="1"/>
    <col min="9736" max="9736" width="10.26953125" customWidth="1"/>
    <col min="9737" max="9737" width="11.26953125" customWidth="1"/>
    <col min="9739" max="9739" width="10.26953125" bestFit="1" customWidth="1"/>
    <col min="9986" max="9986" width="11.453125" customWidth="1"/>
    <col min="9987" max="9987" width="11.7265625" customWidth="1"/>
    <col min="9988" max="9988" width="10.7265625" customWidth="1"/>
    <col min="9989" max="9989" width="11.453125" customWidth="1"/>
    <col min="9990" max="9990" width="13.453125" customWidth="1"/>
    <col min="9991" max="9991" width="13.26953125" customWidth="1"/>
    <col min="9992" max="9992" width="10.26953125" customWidth="1"/>
    <col min="9993" max="9993" width="11.26953125" customWidth="1"/>
    <col min="9995" max="9995" width="10.26953125" bestFit="1" customWidth="1"/>
    <col min="10242" max="10242" width="11.453125" customWidth="1"/>
    <col min="10243" max="10243" width="11.7265625" customWidth="1"/>
    <col min="10244" max="10244" width="10.7265625" customWidth="1"/>
    <col min="10245" max="10245" width="11.453125" customWidth="1"/>
    <col min="10246" max="10246" width="13.453125" customWidth="1"/>
    <col min="10247" max="10247" width="13.26953125" customWidth="1"/>
    <col min="10248" max="10248" width="10.26953125" customWidth="1"/>
    <col min="10249" max="10249" width="11.26953125" customWidth="1"/>
    <col min="10251" max="10251" width="10.26953125" bestFit="1" customWidth="1"/>
    <col min="10498" max="10498" width="11.453125" customWidth="1"/>
    <col min="10499" max="10499" width="11.7265625" customWidth="1"/>
    <col min="10500" max="10500" width="10.7265625" customWidth="1"/>
    <col min="10501" max="10501" width="11.453125" customWidth="1"/>
    <col min="10502" max="10502" width="13.453125" customWidth="1"/>
    <col min="10503" max="10503" width="13.26953125" customWidth="1"/>
    <col min="10504" max="10504" width="10.26953125" customWidth="1"/>
    <col min="10505" max="10505" width="11.26953125" customWidth="1"/>
    <col min="10507" max="10507" width="10.26953125" bestFit="1" customWidth="1"/>
    <col min="10754" max="10754" width="11.453125" customWidth="1"/>
    <col min="10755" max="10755" width="11.7265625" customWidth="1"/>
    <col min="10756" max="10756" width="10.7265625" customWidth="1"/>
    <col min="10757" max="10757" width="11.453125" customWidth="1"/>
    <col min="10758" max="10758" width="13.453125" customWidth="1"/>
    <col min="10759" max="10759" width="13.26953125" customWidth="1"/>
    <col min="10760" max="10760" width="10.26953125" customWidth="1"/>
    <col min="10761" max="10761" width="11.26953125" customWidth="1"/>
    <col min="10763" max="10763" width="10.26953125" bestFit="1" customWidth="1"/>
    <col min="11010" max="11010" width="11.453125" customWidth="1"/>
    <col min="11011" max="11011" width="11.7265625" customWidth="1"/>
    <col min="11012" max="11012" width="10.7265625" customWidth="1"/>
    <col min="11013" max="11013" width="11.453125" customWidth="1"/>
    <col min="11014" max="11014" width="13.453125" customWidth="1"/>
    <col min="11015" max="11015" width="13.26953125" customWidth="1"/>
    <col min="11016" max="11016" width="10.26953125" customWidth="1"/>
    <col min="11017" max="11017" width="11.26953125" customWidth="1"/>
    <col min="11019" max="11019" width="10.26953125" bestFit="1" customWidth="1"/>
    <col min="11266" max="11266" width="11.453125" customWidth="1"/>
    <col min="11267" max="11267" width="11.7265625" customWidth="1"/>
    <col min="11268" max="11268" width="10.7265625" customWidth="1"/>
    <col min="11269" max="11269" width="11.453125" customWidth="1"/>
    <col min="11270" max="11270" width="13.453125" customWidth="1"/>
    <col min="11271" max="11271" width="13.26953125" customWidth="1"/>
    <col min="11272" max="11272" width="10.26953125" customWidth="1"/>
    <col min="11273" max="11273" width="11.26953125" customWidth="1"/>
    <col min="11275" max="11275" width="10.26953125" bestFit="1" customWidth="1"/>
    <col min="11522" max="11522" width="11.453125" customWidth="1"/>
    <col min="11523" max="11523" width="11.7265625" customWidth="1"/>
    <col min="11524" max="11524" width="10.7265625" customWidth="1"/>
    <col min="11525" max="11525" width="11.453125" customWidth="1"/>
    <col min="11526" max="11526" width="13.453125" customWidth="1"/>
    <col min="11527" max="11527" width="13.26953125" customWidth="1"/>
    <col min="11528" max="11528" width="10.26953125" customWidth="1"/>
    <col min="11529" max="11529" width="11.26953125" customWidth="1"/>
    <col min="11531" max="11531" width="10.26953125" bestFit="1" customWidth="1"/>
    <col min="11778" max="11778" width="11.453125" customWidth="1"/>
    <col min="11779" max="11779" width="11.7265625" customWidth="1"/>
    <col min="11780" max="11780" width="10.7265625" customWidth="1"/>
    <col min="11781" max="11781" width="11.453125" customWidth="1"/>
    <col min="11782" max="11782" width="13.453125" customWidth="1"/>
    <col min="11783" max="11783" width="13.26953125" customWidth="1"/>
    <col min="11784" max="11784" width="10.26953125" customWidth="1"/>
    <col min="11785" max="11785" width="11.26953125" customWidth="1"/>
    <col min="11787" max="11787" width="10.26953125" bestFit="1" customWidth="1"/>
    <col min="12034" max="12034" width="11.453125" customWidth="1"/>
    <col min="12035" max="12035" width="11.7265625" customWidth="1"/>
    <col min="12036" max="12036" width="10.7265625" customWidth="1"/>
    <col min="12037" max="12037" width="11.453125" customWidth="1"/>
    <col min="12038" max="12038" width="13.453125" customWidth="1"/>
    <col min="12039" max="12039" width="13.26953125" customWidth="1"/>
    <col min="12040" max="12040" width="10.26953125" customWidth="1"/>
    <col min="12041" max="12041" width="11.26953125" customWidth="1"/>
    <col min="12043" max="12043" width="10.26953125" bestFit="1" customWidth="1"/>
    <col min="12290" max="12290" width="11.453125" customWidth="1"/>
    <col min="12291" max="12291" width="11.7265625" customWidth="1"/>
    <col min="12292" max="12292" width="10.7265625" customWidth="1"/>
    <col min="12293" max="12293" width="11.453125" customWidth="1"/>
    <col min="12294" max="12294" width="13.453125" customWidth="1"/>
    <col min="12295" max="12295" width="13.26953125" customWidth="1"/>
    <col min="12296" max="12296" width="10.26953125" customWidth="1"/>
    <col min="12297" max="12297" width="11.26953125" customWidth="1"/>
    <col min="12299" max="12299" width="10.26953125" bestFit="1" customWidth="1"/>
    <col min="12546" max="12546" width="11.453125" customWidth="1"/>
    <col min="12547" max="12547" width="11.7265625" customWidth="1"/>
    <col min="12548" max="12548" width="10.7265625" customWidth="1"/>
    <col min="12549" max="12549" width="11.453125" customWidth="1"/>
    <col min="12550" max="12550" width="13.453125" customWidth="1"/>
    <col min="12551" max="12551" width="13.26953125" customWidth="1"/>
    <col min="12552" max="12552" width="10.26953125" customWidth="1"/>
    <col min="12553" max="12553" width="11.26953125" customWidth="1"/>
    <col min="12555" max="12555" width="10.26953125" bestFit="1" customWidth="1"/>
    <col min="12802" max="12802" width="11.453125" customWidth="1"/>
    <col min="12803" max="12803" width="11.7265625" customWidth="1"/>
    <col min="12804" max="12804" width="10.7265625" customWidth="1"/>
    <col min="12805" max="12805" width="11.453125" customWidth="1"/>
    <col min="12806" max="12806" width="13.453125" customWidth="1"/>
    <col min="12807" max="12807" width="13.26953125" customWidth="1"/>
    <col min="12808" max="12808" width="10.26953125" customWidth="1"/>
    <col min="12809" max="12809" width="11.26953125" customWidth="1"/>
    <col min="12811" max="12811" width="10.26953125" bestFit="1" customWidth="1"/>
    <col min="13058" max="13058" width="11.453125" customWidth="1"/>
    <col min="13059" max="13059" width="11.7265625" customWidth="1"/>
    <col min="13060" max="13060" width="10.7265625" customWidth="1"/>
    <col min="13061" max="13061" width="11.453125" customWidth="1"/>
    <col min="13062" max="13062" width="13.453125" customWidth="1"/>
    <col min="13063" max="13063" width="13.26953125" customWidth="1"/>
    <col min="13064" max="13064" width="10.26953125" customWidth="1"/>
    <col min="13065" max="13065" width="11.26953125" customWidth="1"/>
    <col min="13067" max="13067" width="10.26953125" bestFit="1" customWidth="1"/>
    <col min="13314" max="13314" width="11.453125" customWidth="1"/>
    <col min="13315" max="13315" width="11.7265625" customWidth="1"/>
    <col min="13316" max="13316" width="10.7265625" customWidth="1"/>
    <col min="13317" max="13317" width="11.453125" customWidth="1"/>
    <col min="13318" max="13318" width="13.453125" customWidth="1"/>
    <col min="13319" max="13319" width="13.26953125" customWidth="1"/>
    <col min="13320" max="13320" width="10.26953125" customWidth="1"/>
    <col min="13321" max="13321" width="11.26953125" customWidth="1"/>
    <col min="13323" max="13323" width="10.26953125" bestFit="1" customWidth="1"/>
    <col min="13570" max="13570" width="11.453125" customWidth="1"/>
    <col min="13571" max="13571" width="11.7265625" customWidth="1"/>
    <col min="13572" max="13572" width="10.7265625" customWidth="1"/>
    <col min="13573" max="13573" width="11.453125" customWidth="1"/>
    <col min="13574" max="13574" width="13.453125" customWidth="1"/>
    <col min="13575" max="13575" width="13.26953125" customWidth="1"/>
    <col min="13576" max="13576" width="10.26953125" customWidth="1"/>
    <col min="13577" max="13577" width="11.26953125" customWidth="1"/>
    <col min="13579" max="13579" width="10.26953125" bestFit="1" customWidth="1"/>
    <col min="13826" max="13826" width="11.453125" customWidth="1"/>
    <col min="13827" max="13827" width="11.7265625" customWidth="1"/>
    <col min="13828" max="13828" width="10.7265625" customWidth="1"/>
    <col min="13829" max="13829" width="11.453125" customWidth="1"/>
    <col min="13830" max="13830" width="13.453125" customWidth="1"/>
    <col min="13831" max="13831" width="13.26953125" customWidth="1"/>
    <col min="13832" max="13832" width="10.26953125" customWidth="1"/>
    <col min="13833" max="13833" width="11.26953125" customWidth="1"/>
    <col min="13835" max="13835" width="10.26953125" bestFit="1" customWidth="1"/>
    <col min="14082" max="14082" width="11.453125" customWidth="1"/>
    <col min="14083" max="14083" width="11.7265625" customWidth="1"/>
    <col min="14084" max="14084" width="10.7265625" customWidth="1"/>
    <col min="14085" max="14085" width="11.453125" customWidth="1"/>
    <col min="14086" max="14086" width="13.453125" customWidth="1"/>
    <col min="14087" max="14087" width="13.26953125" customWidth="1"/>
    <col min="14088" max="14088" width="10.26953125" customWidth="1"/>
    <col min="14089" max="14089" width="11.26953125" customWidth="1"/>
    <col min="14091" max="14091" width="10.26953125" bestFit="1" customWidth="1"/>
    <col min="14338" max="14338" width="11.453125" customWidth="1"/>
    <col min="14339" max="14339" width="11.7265625" customWidth="1"/>
    <col min="14340" max="14340" width="10.7265625" customWidth="1"/>
    <col min="14341" max="14341" width="11.453125" customWidth="1"/>
    <col min="14342" max="14342" width="13.453125" customWidth="1"/>
    <col min="14343" max="14343" width="13.26953125" customWidth="1"/>
    <col min="14344" max="14344" width="10.26953125" customWidth="1"/>
    <col min="14345" max="14345" width="11.26953125" customWidth="1"/>
    <col min="14347" max="14347" width="10.26953125" bestFit="1" customWidth="1"/>
    <col min="14594" max="14594" width="11.453125" customWidth="1"/>
    <col min="14595" max="14595" width="11.7265625" customWidth="1"/>
    <col min="14596" max="14596" width="10.7265625" customWidth="1"/>
    <col min="14597" max="14597" width="11.453125" customWidth="1"/>
    <col min="14598" max="14598" width="13.453125" customWidth="1"/>
    <col min="14599" max="14599" width="13.26953125" customWidth="1"/>
    <col min="14600" max="14600" width="10.26953125" customWidth="1"/>
    <col min="14601" max="14601" width="11.26953125" customWidth="1"/>
    <col min="14603" max="14603" width="10.26953125" bestFit="1" customWidth="1"/>
    <col min="14850" max="14850" width="11.453125" customWidth="1"/>
    <col min="14851" max="14851" width="11.7265625" customWidth="1"/>
    <col min="14852" max="14852" width="10.7265625" customWidth="1"/>
    <col min="14853" max="14853" width="11.453125" customWidth="1"/>
    <col min="14854" max="14854" width="13.453125" customWidth="1"/>
    <col min="14855" max="14855" width="13.26953125" customWidth="1"/>
    <col min="14856" max="14856" width="10.26953125" customWidth="1"/>
    <col min="14857" max="14857" width="11.26953125" customWidth="1"/>
    <col min="14859" max="14859" width="10.26953125" bestFit="1" customWidth="1"/>
    <col min="15106" max="15106" width="11.453125" customWidth="1"/>
    <col min="15107" max="15107" width="11.7265625" customWidth="1"/>
    <col min="15108" max="15108" width="10.7265625" customWidth="1"/>
    <col min="15109" max="15109" width="11.453125" customWidth="1"/>
    <col min="15110" max="15110" width="13.453125" customWidth="1"/>
    <col min="15111" max="15111" width="13.26953125" customWidth="1"/>
    <col min="15112" max="15112" width="10.26953125" customWidth="1"/>
    <col min="15113" max="15113" width="11.26953125" customWidth="1"/>
    <col min="15115" max="15115" width="10.26953125" bestFit="1" customWidth="1"/>
    <col min="15362" max="15362" width="11.453125" customWidth="1"/>
    <col min="15363" max="15363" width="11.7265625" customWidth="1"/>
    <col min="15364" max="15364" width="10.7265625" customWidth="1"/>
    <col min="15365" max="15365" width="11.453125" customWidth="1"/>
    <col min="15366" max="15366" width="13.453125" customWidth="1"/>
    <col min="15367" max="15367" width="13.26953125" customWidth="1"/>
    <col min="15368" max="15368" width="10.26953125" customWidth="1"/>
    <col min="15369" max="15369" width="11.26953125" customWidth="1"/>
    <col min="15371" max="15371" width="10.26953125" bestFit="1" customWidth="1"/>
    <col min="15618" max="15618" width="11.453125" customWidth="1"/>
    <col min="15619" max="15619" width="11.7265625" customWidth="1"/>
    <col min="15620" max="15620" width="10.7265625" customWidth="1"/>
    <col min="15621" max="15621" width="11.453125" customWidth="1"/>
    <col min="15622" max="15622" width="13.453125" customWidth="1"/>
    <col min="15623" max="15623" width="13.26953125" customWidth="1"/>
    <col min="15624" max="15624" width="10.26953125" customWidth="1"/>
    <col min="15625" max="15625" width="11.26953125" customWidth="1"/>
    <col min="15627" max="15627" width="10.26953125" bestFit="1" customWidth="1"/>
    <col min="15874" max="15874" width="11.453125" customWidth="1"/>
    <col min="15875" max="15875" width="11.7265625" customWidth="1"/>
    <col min="15876" max="15876" width="10.7265625" customWidth="1"/>
    <col min="15877" max="15877" width="11.453125" customWidth="1"/>
    <col min="15878" max="15878" width="13.453125" customWidth="1"/>
    <col min="15879" max="15879" width="13.26953125" customWidth="1"/>
    <col min="15880" max="15880" width="10.26953125" customWidth="1"/>
    <col min="15881" max="15881" width="11.26953125" customWidth="1"/>
    <col min="15883" max="15883" width="10.26953125" bestFit="1" customWidth="1"/>
    <col min="16130" max="16130" width="11.453125" customWidth="1"/>
    <col min="16131" max="16131" width="11.7265625" customWidth="1"/>
    <col min="16132" max="16132" width="10.7265625" customWidth="1"/>
    <col min="16133" max="16133" width="11.453125" customWidth="1"/>
    <col min="16134" max="16134" width="13.453125" customWidth="1"/>
    <col min="16135" max="16135" width="13.26953125" customWidth="1"/>
    <col min="16136" max="16136" width="10.26953125" customWidth="1"/>
    <col min="16137" max="16137" width="11.26953125" customWidth="1"/>
    <col min="16139" max="16139" width="10.26953125" bestFit="1" customWidth="1"/>
  </cols>
  <sheetData>
    <row r="1" spans="1:12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2" ht="15.5" x14ac:dyDescent="0.35">
      <c r="A2" s="32" t="str">
        <f>+'Withdrawal Liability'!A2</f>
        <v xml:space="preserve">SEIU Affiliates Officers and Employees Pension Plan (United States) </v>
      </c>
      <c r="B2" s="27"/>
      <c r="C2" s="27"/>
      <c r="D2" s="27"/>
      <c r="E2" s="27"/>
      <c r="F2" s="27"/>
      <c r="G2" s="27"/>
      <c r="H2" s="71"/>
      <c r="I2" s="27"/>
      <c r="J2" s="27"/>
    </row>
    <row r="3" spans="1:12" ht="15.5" x14ac:dyDescent="0.35">
      <c r="A3" s="32" t="s">
        <v>51</v>
      </c>
      <c r="B3" s="27"/>
      <c r="C3" s="27"/>
      <c r="D3" s="27"/>
      <c r="E3" s="27"/>
      <c r="F3" s="27"/>
      <c r="G3" s="27"/>
      <c r="H3" s="27"/>
      <c r="I3" s="27"/>
      <c r="J3" s="27"/>
    </row>
    <row r="4" spans="1:12" x14ac:dyDescent="0.25">
      <c r="A4" s="26"/>
      <c r="B4" s="26"/>
      <c r="C4" s="26"/>
      <c r="D4" s="26"/>
      <c r="E4" s="26"/>
      <c r="F4" s="26"/>
      <c r="G4" s="26"/>
      <c r="H4" s="72"/>
      <c r="I4" s="26"/>
      <c r="J4" s="26"/>
    </row>
    <row r="5" spans="1:12" ht="13" x14ac:dyDescent="0.3">
      <c r="A5" s="26" t="s">
        <v>16</v>
      </c>
      <c r="B5" s="26" t="s">
        <v>9</v>
      </c>
      <c r="C5" s="26"/>
      <c r="E5" s="26"/>
      <c r="G5" s="33" t="str">
        <f>+Inputs!B7</f>
        <v>Test Case</v>
      </c>
      <c r="H5" s="26"/>
      <c r="I5" s="26"/>
      <c r="J5" s="22" t="s">
        <v>50</v>
      </c>
      <c r="K5" s="2" t="s">
        <v>37</v>
      </c>
      <c r="L5" s="2" t="s">
        <v>56</v>
      </c>
    </row>
    <row r="6" spans="1:12" ht="13" x14ac:dyDescent="0.3">
      <c r="A6" s="26" t="s">
        <v>17</v>
      </c>
      <c r="B6" s="26" t="s">
        <v>18</v>
      </c>
      <c r="C6" s="26"/>
      <c r="E6" s="26"/>
      <c r="G6" s="50">
        <f>+Inputs!B8</f>
        <v>45689</v>
      </c>
      <c r="H6" s="26"/>
      <c r="I6" s="26"/>
      <c r="J6" s="17" t="str">
        <f>TEXT(Inputs!A47,"MM/DD/YYYY")&amp;" - " &amp;TEXT(Inputs!A12,"MM/DD/YYYY")</f>
        <v>01/01/2022 - 12/01/2024</v>
      </c>
      <c r="K6" s="18">
        <f>+SUM(Inputs!B12:B47)</f>
        <v>740000</v>
      </c>
      <c r="L6" s="1">
        <f>COUNTIF(Inputs!B12:B47,"&gt;0")</f>
        <v>28</v>
      </c>
    </row>
    <row r="7" spans="1:12" ht="13" x14ac:dyDescent="0.3">
      <c r="A7" s="26" t="s">
        <v>19</v>
      </c>
      <c r="B7" s="26" t="s">
        <v>54</v>
      </c>
      <c r="C7" s="26"/>
      <c r="D7" s="26"/>
      <c r="E7" s="26"/>
      <c r="G7" s="85">
        <f>+'Withdrawal Liability'!C26</f>
        <v>13710</v>
      </c>
      <c r="H7" s="26"/>
      <c r="I7" s="26"/>
      <c r="J7" s="17" t="str">
        <f>TEXT(Inputs!A48,"MM/DD/YYYY")&amp;" - " &amp;TEXT(Inputs!A13,"MM/DD/YYYY")</f>
        <v>12/01/2021 - 11/01/2024</v>
      </c>
      <c r="K7" s="18">
        <f>+SUM(Inputs!B13:B48)</f>
        <v>710000</v>
      </c>
      <c r="L7" s="1">
        <f>COUNTIF(Inputs!B13:B48,"&gt;0")</f>
        <v>27</v>
      </c>
    </row>
    <row r="8" spans="1:12" ht="13" x14ac:dyDescent="0.3">
      <c r="A8" s="26" t="s">
        <v>20</v>
      </c>
      <c r="B8" s="26" t="s">
        <v>36</v>
      </c>
      <c r="C8" s="26"/>
      <c r="D8" s="26"/>
      <c r="E8" s="26"/>
      <c r="F8" s="26"/>
      <c r="G8" s="29">
        <f>+MAX(K6:K90)</f>
        <v>740000</v>
      </c>
      <c r="H8" s="26"/>
      <c r="I8" s="26"/>
      <c r="J8" s="17" t="str">
        <f>TEXT(Inputs!A49,"MM/DD/YYYY")&amp;" - " &amp;TEXT(Inputs!A14,"MM/DD/YYYY")</f>
        <v>11/01/2021 - 10/01/2024</v>
      </c>
      <c r="K8" s="18">
        <f>+SUM(Inputs!B14:B49)</f>
        <v>680000</v>
      </c>
      <c r="L8" s="1">
        <f>COUNTIF(Inputs!B14:B49,"&gt;0")</f>
        <v>26</v>
      </c>
    </row>
    <row r="9" spans="1:12" ht="13" x14ac:dyDescent="0.3">
      <c r="A9" s="26" t="s">
        <v>21</v>
      </c>
      <c r="B9" s="26" t="s">
        <v>60</v>
      </c>
      <c r="C9" s="26"/>
      <c r="D9" s="26"/>
      <c r="E9" s="26"/>
      <c r="F9" s="26"/>
      <c r="G9" s="79">
        <f>ROUND(VLOOKUP(G8,$K$6:$L$90,2,FALSE)/12,4)</f>
        <v>2.3332999999999999</v>
      </c>
      <c r="H9" s="26"/>
      <c r="I9" s="28"/>
      <c r="J9" s="17" t="str">
        <f>TEXT(Inputs!A50,"MM/DD/YYYY")&amp;" - " &amp;TEXT(Inputs!A15,"MM/DD/YYYY")</f>
        <v>10/01/2021 - 09/01/2024</v>
      </c>
      <c r="K9" s="18">
        <f>+SUM(Inputs!B15:B50)</f>
        <v>650000</v>
      </c>
      <c r="L9" s="1">
        <f>COUNTIF(Inputs!B15:B50,"&gt;0")</f>
        <v>25</v>
      </c>
    </row>
    <row r="10" spans="1:12" ht="13" x14ac:dyDescent="0.3">
      <c r="A10" s="26" t="s">
        <v>22</v>
      </c>
      <c r="B10" s="26" t="s">
        <v>23</v>
      </c>
      <c r="C10" s="26"/>
      <c r="D10" s="26"/>
      <c r="E10" s="26"/>
      <c r="F10" s="26"/>
      <c r="G10" s="49">
        <f>+MAX(Inputs!B137:B146)</f>
        <v>0.21</v>
      </c>
      <c r="H10" s="26"/>
      <c r="I10" s="26"/>
      <c r="J10" s="17" t="str">
        <f>TEXT(Inputs!A51,"MM/DD/YYYY")&amp;" - " &amp;TEXT(Inputs!A16,"MM/DD/YYYY")</f>
        <v>09/01/2021 - 08/01/2024</v>
      </c>
      <c r="K10" s="18">
        <f>+SUM(Inputs!B16:B51)</f>
        <v>620000</v>
      </c>
      <c r="L10" s="1">
        <f>COUNTIF(Inputs!B16:B51,"&gt;0")</f>
        <v>24</v>
      </c>
    </row>
    <row r="11" spans="1:12" ht="13" x14ac:dyDescent="0.3">
      <c r="A11" s="26" t="s">
        <v>24</v>
      </c>
      <c r="B11" s="26" t="s">
        <v>61</v>
      </c>
      <c r="C11" s="26"/>
      <c r="D11" s="26"/>
      <c r="E11" s="26"/>
      <c r="F11" s="26"/>
      <c r="G11" s="86">
        <f>ROUND(G8/G9*G10,0)</f>
        <v>66601</v>
      </c>
      <c r="H11" s="26"/>
      <c r="I11" s="26"/>
      <c r="J11" s="17" t="str">
        <f>TEXT(Inputs!A52,"MM/DD/YYYY")&amp;" - " &amp;TEXT(Inputs!A17,"MM/DD/YYYY")</f>
        <v>08/01/2021 - 07/01/2024</v>
      </c>
      <c r="K11" s="18">
        <f>+SUM(Inputs!B17:B52)</f>
        <v>590000</v>
      </c>
      <c r="L11" s="1">
        <f>COUNTIF(Inputs!B17:B52,"&gt;0")</f>
        <v>23</v>
      </c>
    </row>
    <row r="12" spans="1:12" ht="13" x14ac:dyDescent="0.3">
      <c r="A12" s="26" t="s">
        <v>27</v>
      </c>
      <c r="B12" s="26" t="s">
        <v>57</v>
      </c>
      <c r="C12" s="26"/>
      <c r="D12" s="26"/>
      <c r="E12" s="26"/>
      <c r="F12" s="26"/>
      <c r="G12" s="86">
        <f>ROUND(G11/4,0)</f>
        <v>16650</v>
      </c>
      <c r="H12" s="26"/>
      <c r="I12" s="26"/>
      <c r="J12" s="17" t="str">
        <f>TEXT(Inputs!A53,"MM/DD/YYYY")&amp;" - " &amp;TEXT(Inputs!A18,"MM/DD/YYYY")</f>
        <v>07/01/2021 - 06/01/2024</v>
      </c>
      <c r="K12" s="18">
        <f>+SUM(Inputs!B18:B53)</f>
        <v>560000</v>
      </c>
      <c r="L12" s="1">
        <f>COUNTIF(Inputs!B18:B53,"&gt;0")</f>
        <v>22</v>
      </c>
    </row>
    <row r="13" spans="1:12" ht="13" x14ac:dyDescent="0.3">
      <c r="A13" s="26" t="s">
        <v>28</v>
      </c>
      <c r="B13" s="26" t="s">
        <v>58</v>
      </c>
      <c r="C13" s="41"/>
      <c r="D13" s="41"/>
      <c r="E13" s="41"/>
      <c r="F13" s="41"/>
      <c r="G13" s="42">
        <f>IF(YEAR(Inputs!B8)=WithdrawalYear,ROUND(G7/G11,6),"Error - Withdrawal Not in "&amp;WithdrawalYear)</f>
        <v>0.20585300000000001</v>
      </c>
      <c r="H13" s="26"/>
      <c r="I13" s="26"/>
      <c r="J13" s="17" t="str">
        <f>TEXT(Inputs!A54,"MM/DD/YYYY")&amp;" - " &amp;TEXT(Inputs!A19,"MM/DD/YYYY")</f>
        <v>06/01/2021 - 05/01/2024</v>
      </c>
      <c r="K13" s="18">
        <f>+SUM(Inputs!B19:B54)</f>
        <v>530000</v>
      </c>
      <c r="L13" s="1">
        <f>COUNTIF(Inputs!B19:B54,"&gt;0")</f>
        <v>21</v>
      </c>
    </row>
    <row r="14" spans="1:12" ht="13" x14ac:dyDescent="0.3">
      <c r="A14" s="26" t="s">
        <v>29</v>
      </c>
      <c r="B14" s="26" t="s">
        <v>59</v>
      </c>
      <c r="C14" s="41"/>
      <c r="D14" s="41"/>
      <c r="E14" s="41"/>
      <c r="F14" s="41"/>
      <c r="G14" s="43">
        <f>IF(YEAR(Inputs!B8)=WithdrawalYear,VLOOKUP(G13,'Factor Table'!$B$9:$B$29,1,TRUE),"Error - Withdrawal Not in "&amp;WithdrawalYear)</f>
        <v>0</v>
      </c>
      <c r="H14" s="26"/>
      <c r="I14" s="26"/>
      <c r="J14" s="17" t="str">
        <f>TEXT(Inputs!A55,"MM/DD/YYYY")&amp;" - " &amp;TEXT(Inputs!A20,"MM/DD/YYYY")</f>
        <v>05/01/2021 - 04/01/2024</v>
      </c>
      <c r="K14" s="18">
        <f>+SUM(Inputs!B20:B55)</f>
        <v>500000</v>
      </c>
      <c r="L14" s="1">
        <f>COUNTIF(Inputs!B20:B55,"&gt;0")</f>
        <v>20</v>
      </c>
    </row>
    <row r="15" spans="1:12" ht="13" x14ac:dyDescent="0.3">
      <c r="A15" s="26" t="s">
        <v>30</v>
      </c>
      <c r="B15" s="26" t="s">
        <v>62</v>
      </c>
      <c r="C15" s="41"/>
      <c r="D15" s="41"/>
      <c r="E15" s="41"/>
      <c r="F15" s="41"/>
      <c r="G15" s="46">
        <f>IF(YEAR(Inputs!B8)=WithdrawalYear,VLOOKUP(G14,'Factor Table'!$B$9:$C$29,2,FALSE),"Error - Withdrawal Not in "&amp;WithdrawalYear)</f>
        <v>0</v>
      </c>
      <c r="H15" s="26"/>
      <c r="I15" s="26"/>
      <c r="J15" s="17" t="str">
        <f>TEXT(Inputs!A56,"MM/DD/YYYY")&amp;" - " &amp;TEXT(Inputs!A21,"MM/DD/YYYY")</f>
        <v>04/01/2021 - 03/01/2024</v>
      </c>
      <c r="K15" s="18">
        <f>+SUM(Inputs!B21:B56)</f>
        <v>470000</v>
      </c>
      <c r="L15" s="1">
        <f>COUNTIF(Inputs!B21:B56,"&gt;0")</f>
        <v>19</v>
      </c>
    </row>
    <row r="16" spans="1:12" ht="13" x14ac:dyDescent="0.3">
      <c r="A16" s="26" t="s">
        <v>31</v>
      </c>
      <c r="B16" s="26" t="s">
        <v>79</v>
      </c>
      <c r="C16" s="41"/>
      <c r="D16" s="41"/>
      <c r="E16" s="41"/>
      <c r="F16" s="41"/>
      <c r="G16" s="85">
        <f>IF(YEAR(Inputs!B8)=WithdrawalYear,ROUND(G11*G14,0),"Error - Withdrawal Not in "&amp;WithdrawalYear)</f>
        <v>0</v>
      </c>
      <c r="H16" s="26"/>
      <c r="I16" s="26"/>
      <c r="J16" s="17" t="str">
        <f>TEXT(Inputs!A57,"MM/DD/YYYY")&amp;" - " &amp;TEXT(Inputs!A22,"MM/DD/YYYY")</f>
        <v>03/01/2021 - 02/01/2024</v>
      </c>
      <c r="K16" s="18">
        <f>+SUM(Inputs!B22:B57)</f>
        <v>440000</v>
      </c>
      <c r="L16" s="1">
        <f>COUNTIF(Inputs!B22:B57,"&gt;0")</f>
        <v>18</v>
      </c>
    </row>
    <row r="17" spans="1:12" ht="13" x14ac:dyDescent="0.3">
      <c r="A17" s="26" t="s">
        <v>32</v>
      </c>
      <c r="B17" s="26" t="s">
        <v>63</v>
      </c>
      <c r="C17" s="41"/>
      <c r="D17" s="41"/>
      <c r="E17" s="41"/>
      <c r="F17" s="41"/>
      <c r="G17" s="85">
        <f>IF(YEAR(Inputs!B8)=WithdrawalYear,ROUND(G7-G16,0),"Error - Withdrawal Not in "&amp;WithdrawalYear)</f>
        <v>13710</v>
      </c>
      <c r="H17" s="26"/>
      <c r="I17" s="26"/>
      <c r="J17" s="17" t="str">
        <f>TEXT(Inputs!A58,"MM/DD/YYYY")&amp;" - " &amp;TEXT(Inputs!A23,"MM/DD/YYYY")</f>
        <v>02/01/2021 - 01/01/2024</v>
      </c>
      <c r="K17" s="18">
        <f>+SUM(Inputs!B23:B58)</f>
        <v>410000</v>
      </c>
      <c r="L17" s="1">
        <f>COUNTIF(Inputs!B23:B58,"&gt;0")</f>
        <v>17</v>
      </c>
    </row>
    <row r="18" spans="1:12" ht="13" x14ac:dyDescent="0.3">
      <c r="A18" s="26" t="s">
        <v>33</v>
      </c>
      <c r="B18" s="26" t="s">
        <v>64</v>
      </c>
      <c r="C18" s="41"/>
      <c r="D18" s="41"/>
      <c r="E18" s="41"/>
      <c r="F18" s="41"/>
      <c r="G18" s="44">
        <f>IF(YEAR(Inputs!B8)=WithdrawalYear,VLOOKUP(G15,'Factor Table'!$C$9:$D$29,2,FALSE),"Error - Withdrawal Not in "&amp;WithdrawalYear)</f>
        <v>1</v>
      </c>
      <c r="H18" s="26"/>
      <c r="I18" s="26"/>
      <c r="J18" s="17" t="str">
        <f>TEXT(Inputs!A59,"MM/DD/YYYY")&amp;" - " &amp;TEXT(Inputs!A24,"MM/DD/YYYY")</f>
        <v>01/01/2021 - 12/01/2023</v>
      </c>
      <c r="K18" s="18">
        <f>+SUM(Inputs!B24:B59)</f>
        <v>380000</v>
      </c>
      <c r="L18" s="1">
        <f>COUNTIF(Inputs!B24:B59,"&gt;0")</f>
        <v>16</v>
      </c>
    </row>
    <row r="19" spans="1:12" ht="13" x14ac:dyDescent="0.3">
      <c r="A19" s="26" t="s">
        <v>34</v>
      </c>
      <c r="B19" s="45" t="s">
        <v>65</v>
      </c>
      <c r="C19" s="41"/>
      <c r="D19" s="41"/>
      <c r="E19" s="41"/>
      <c r="F19" s="41"/>
      <c r="G19" s="85">
        <f>IF(YEAR(Inputs!B8)=WithdrawalYear,ROUND(IF(G15=20,0,G17*G18),0),"Error - Withdrawal Not in "&amp;WithdrawalYear)</f>
        <v>13710</v>
      </c>
      <c r="H19" s="26"/>
      <c r="I19" s="26"/>
      <c r="J19" s="17" t="str">
        <f>TEXT(Inputs!A60,"MM/DD/YYYY")&amp;" - " &amp;TEXT(Inputs!A25,"MM/DD/YYYY")</f>
        <v>12/01/2020 - 11/01/2023</v>
      </c>
      <c r="K19" s="18">
        <f>+SUM(Inputs!B25:B60)</f>
        <v>355000</v>
      </c>
      <c r="L19" s="1">
        <f>COUNTIF(Inputs!B25:B60,"&gt;0")</f>
        <v>15</v>
      </c>
    </row>
    <row r="20" spans="1:12" ht="13" x14ac:dyDescent="0.3">
      <c r="A20" s="26" t="s">
        <v>25</v>
      </c>
      <c r="B20" s="26" t="s">
        <v>66</v>
      </c>
      <c r="C20" s="41"/>
      <c r="D20" s="41"/>
      <c r="E20" s="41"/>
      <c r="F20" s="41"/>
      <c r="G20" s="46">
        <f>IF(YEAR(Inputs!B8)=WithdrawalYear,INT(G19/G12),"Error - Withdrawal Not in "&amp;WithdrawalYear)</f>
        <v>0</v>
      </c>
      <c r="H20" s="26"/>
      <c r="I20" s="26"/>
      <c r="J20" s="17" t="str">
        <f>TEXT(Inputs!A61,"MM/DD/YYYY")&amp;" - " &amp;TEXT(Inputs!A26,"MM/DD/YYYY")</f>
        <v>11/01/2020 - 10/01/2023</v>
      </c>
      <c r="K20" s="18">
        <f>+SUM(Inputs!B26:B61)</f>
        <v>330000</v>
      </c>
      <c r="L20" s="1">
        <f>COUNTIF(Inputs!B26:B61,"&gt;0")</f>
        <v>14</v>
      </c>
    </row>
    <row r="21" spans="1:12" ht="13" x14ac:dyDescent="0.3">
      <c r="A21" s="26" t="s">
        <v>26</v>
      </c>
      <c r="B21" s="26" t="s">
        <v>67</v>
      </c>
      <c r="C21" s="41"/>
      <c r="D21" s="41"/>
      <c r="E21" s="41"/>
      <c r="F21" s="41"/>
      <c r="G21" s="46">
        <f>IF(YEAR(Inputs!B8)=WithdrawalYear,4*G15+G20,"Error - Withdrawal Not in "&amp;WithdrawalYear)</f>
        <v>0</v>
      </c>
      <c r="H21" s="26"/>
      <c r="I21" s="26"/>
      <c r="J21" s="17" t="str">
        <f>TEXT(Inputs!A62,"MM/DD/YYYY")&amp;" - " &amp;TEXT(Inputs!A27,"MM/DD/YYYY")</f>
        <v>10/01/2020 - 09/01/2023</v>
      </c>
      <c r="K21" s="18">
        <f>+SUM(Inputs!B27:B62)</f>
        <v>305000</v>
      </c>
      <c r="L21" s="1">
        <f>COUNTIF(Inputs!B27:B62,"&gt;0")</f>
        <v>13</v>
      </c>
    </row>
    <row r="22" spans="1:12" ht="13" x14ac:dyDescent="0.3">
      <c r="A22" s="26" t="s">
        <v>68</v>
      </c>
      <c r="B22" s="26" t="s">
        <v>69</v>
      </c>
      <c r="C22" s="26"/>
      <c r="D22" s="26"/>
      <c r="E22" s="26"/>
      <c r="F22" s="26"/>
      <c r="G22" s="87">
        <f>IF(YEAR(Inputs!B8)=WithdrawalYear,ROUND(SUM(G19)-(G20*G12),0),"Error - Withdrawal Not in "&amp;WithdrawalYear)</f>
        <v>13710</v>
      </c>
      <c r="H22" s="26"/>
      <c r="I22" s="26"/>
      <c r="J22" s="17" t="str">
        <f>TEXT(Inputs!A63,"MM/DD/YYYY")&amp;" - " &amp;TEXT(Inputs!A28,"MM/DD/YYYY")</f>
        <v>09/01/2020 - 08/01/2023</v>
      </c>
      <c r="K22" s="18">
        <f>+SUM(Inputs!B28:B63)</f>
        <v>280000</v>
      </c>
      <c r="L22" s="1">
        <f>COUNTIF(Inputs!B28:B63,"&gt;0")</f>
        <v>12</v>
      </c>
    </row>
    <row r="23" spans="1:12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17" t="str">
        <f>TEXT(Inputs!A64,"MM/DD/YYYY")&amp;" - " &amp;TEXT(Inputs!A29,"MM/DD/YYYY")</f>
        <v>08/01/2020 - 07/01/2023</v>
      </c>
      <c r="K23" s="18">
        <f>+SUM(Inputs!B29:B64)</f>
        <v>255000</v>
      </c>
      <c r="L23" s="1">
        <f>COUNTIF(Inputs!B29:B64,"&gt;0")</f>
        <v>11</v>
      </c>
    </row>
    <row r="24" spans="1:12" ht="13" x14ac:dyDescent="0.3">
      <c r="A24" s="28" t="s">
        <v>53</v>
      </c>
      <c r="B24" s="26"/>
      <c r="C24" s="26"/>
      <c r="D24" s="26"/>
      <c r="E24" s="26"/>
      <c r="F24" s="26"/>
      <c r="G24" s="26"/>
      <c r="H24" s="47"/>
      <c r="I24" s="26"/>
      <c r="J24" s="17" t="str">
        <f>TEXT(Inputs!A65,"MM/DD/YYYY")&amp;" - " &amp;TEXT(Inputs!A30,"MM/DD/YYYY")</f>
        <v>07/01/2020 - 06/01/2023</v>
      </c>
      <c r="K24" s="18">
        <f>+SUM(Inputs!B30:B65)</f>
        <v>230000</v>
      </c>
      <c r="L24" s="1">
        <f>COUNTIF(Inputs!B30:B65,"&gt;0")</f>
        <v>10</v>
      </c>
    </row>
    <row r="25" spans="1:12" x14ac:dyDescent="0.25">
      <c r="A25" s="26"/>
      <c r="B25" s="26"/>
      <c r="C25" s="26"/>
      <c r="D25" s="26"/>
      <c r="E25" s="26"/>
      <c r="F25" s="26"/>
      <c r="G25" s="26"/>
      <c r="H25" s="47"/>
      <c r="I25" s="26"/>
      <c r="J25" s="17" t="str">
        <f>TEXT(Inputs!A66,"MM/DD/YYYY")&amp;" - " &amp;TEXT(Inputs!A31,"MM/DD/YYYY")</f>
        <v>06/01/2020 - 05/01/2023</v>
      </c>
      <c r="K25" s="18">
        <f>+SUM(Inputs!B31:B66)</f>
        <v>205000</v>
      </c>
      <c r="L25" s="1">
        <f>COUNTIF(Inputs!B31:B66,"&gt;0")</f>
        <v>9</v>
      </c>
    </row>
    <row r="26" spans="1:12" ht="13.5" thickBot="1" x14ac:dyDescent="0.35">
      <c r="A26" s="26"/>
      <c r="B26" s="88">
        <f>IF(YEAR(Inputs!B8)=WithdrawalYear,G12,"")</f>
        <v>16650</v>
      </c>
      <c r="C26" s="26" t="s">
        <v>48</v>
      </c>
      <c r="D26" s="48">
        <f>IF(YEAR(Inputs!B8)=WithdrawalYear,G21,"")</f>
        <v>0</v>
      </c>
      <c r="E26" s="26" t="s">
        <v>49</v>
      </c>
      <c r="G26" s="88">
        <f>IF(YEAR(Inputs!B8)=WithdrawalYear,G22,"")</f>
        <v>13710</v>
      </c>
      <c r="I26" s="26"/>
      <c r="J26" s="17" t="str">
        <f>TEXT(Inputs!A67,"MM/DD/YYYY")&amp;" - " &amp;TEXT(Inputs!A32,"MM/DD/YYYY")</f>
        <v>05/01/2020 - 04/01/2023</v>
      </c>
      <c r="K26" s="18">
        <f>+SUM(Inputs!B32:B67)</f>
        <v>180000</v>
      </c>
      <c r="L26" s="1">
        <f>COUNTIF(Inputs!B32:B67,"&gt;0")</f>
        <v>8</v>
      </c>
    </row>
    <row r="27" spans="1:12" x14ac:dyDescent="0.25">
      <c r="A27" s="26"/>
      <c r="B27" s="26"/>
      <c r="C27" s="26"/>
      <c r="D27" s="26"/>
      <c r="E27" s="26"/>
      <c r="F27" s="26"/>
      <c r="G27" s="26"/>
      <c r="I27" s="26"/>
      <c r="J27" s="17" t="str">
        <f>TEXT(Inputs!A68,"MM/DD/YYYY")&amp;" - " &amp;TEXT(Inputs!A33,"MM/DD/YYYY")</f>
        <v>04/01/2020 - 03/01/2023</v>
      </c>
      <c r="K27" s="18">
        <f>+SUM(Inputs!B33:B68)</f>
        <v>155000</v>
      </c>
      <c r="L27" s="1">
        <f>COUNTIF(Inputs!B33:B68,"&gt;0")</f>
        <v>7</v>
      </c>
    </row>
    <row r="28" spans="1:12" ht="13" x14ac:dyDescent="0.3">
      <c r="A28" s="47"/>
      <c r="B28" s="47"/>
      <c r="C28" s="47"/>
      <c r="D28" s="47"/>
      <c r="E28" s="47"/>
      <c r="F28" s="47"/>
      <c r="G28" s="30"/>
      <c r="I28" s="26"/>
      <c r="J28" s="17" t="str">
        <f>TEXT(Inputs!A69,"MM/DD/YYYY")&amp;" - " &amp;TEXT(Inputs!A34,"MM/DD/YYYY")</f>
        <v>03/01/2020 - 02/01/2023</v>
      </c>
      <c r="K28" s="18">
        <f>+SUM(Inputs!B34:B69)</f>
        <v>130000</v>
      </c>
      <c r="L28" s="1">
        <f>COUNTIF(Inputs!B34:B69,"&gt;0")</f>
        <v>6</v>
      </c>
    </row>
    <row r="29" spans="1:12" x14ac:dyDescent="0.25">
      <c r="I29" s="26"/>
      <c r="J29" s="17" t="str">
        <f>TEXT(Inputs!A70,"MM/DD/YYYY")&amp;" - " &amp;TEXT(Inputs!A35,"MM/DD/YYYY")</f>
        <v>02/01/2020 - 01/01/2023</v>
      </c>
      <c r="K29" s="18">
        <f>+SUM(Inputs!B35:B70)</f>
        <v>105000</v>
      </c>
      <c r="L29" s="1">
        <f>COUNTIF(Inputs!B35:B70,"&gt;0")</f>
        <v>5</v>
      </c>
    </row>
    <row r="30" spans="1:12" x14ac:dyDescent="0.25">
      <c r="I30" s="26"/>
      <c r="J30" s="17" t="str">
        <f>TEXT(Inputs!A71,"MM/DD/YYYY")&amp;" - " &amp;TEXT(Inputs!A36,"MM/DD/YYYY")</f>
        <v>01/01/2020 - 12/01/2022</v>
      </c>
      <c r="K30" s="18">
        <f>+SUM(Inputs!B36:B71)</f>
        <v>80000</v>
      </c>
      <c r="L30" s="1">
        <f>COUNTIF(Inputs!B36:B71,"&gt;0")</f>
        <v>4</v>
      </c>
    </row>
    <row r="31" spans="1:12" x14ac:dyDescent="0.25">
      <c r="I31" s="26"/>
      <c r="J31" s="17" t="str">
        <f>TEXT(Inputs!A74,"MM/DD/YYYY")&amp;" - " &amp;TEXT(Inputs!A37,"MM/DD/YYYY")</f>
        <v>12/01/2019 - 11/01/2022</v>
      </c>
      <c r="K31" s="18">
        <f>+SUM(Inputs!B37:B74)</f>
        <v>60000</v>
      </c>
      <c r="L31" s="1">
        <f>COUNTIF(Inputs!B37:B74,"&gt;0")</f>
        <v>3</v>
      </c>
    </row>
    <row r="32" spans="1:12" x14ac:dyDescent="0.25">
      <c r="I32" s="26"/>
      <c r="J32" s="17" t="str">
        <f>TEXT(Inputs!A75,"MM/DD/YYYY")&amp;" - " &amp;TEXT(Inputs!A38,"MM/DD/YYYY")</f>
        <v>11/01/2019 - 10/01/2022</v>
      </c>
      <c r="K32" s="18">
        <f>+SUM(Inputs!B38:B75)</f>
        <v>40000</v>
      </c>
      <c r="L32" s="1">
        <f>COUNTIF(Inputs!B38:B75,"&gt;0")</f>
        <v>2</v>
      </c>
    </row>
    <row r="33" spans="9:12" x14ac:dyDescent="0.25">
      <c r="I33" s="26"/>
      <c r="J33" s="17" t="str">
        <f>TEXT(Inputs!A76,"MM/DD/YYYY")&amp;" - " &amp;TEXT(Inputs!A39,"MM/DD/YYYY")</f>
        <v>10/01/2019 - 09/01/2022</v>
      </c>
      <c r="K33" s="18">
        <f>+SUM(Inputs!B39:B76)</f>
        <v>20000</v>
      </c>
      <c r="L33" s="1">
        <f>COUNTIF(Inputs!B39:B76,"&gt;0")</f>
        <v>1</v>
      </c>
    </row>
    <row r="34" spans="9:12" x14ac:dyDescent="0.25">
      <c r="I34" s="26"/>
      <c r="J34" s="17" t="str">
        <f>TEXT(Inputs!A77,"MM/DD/YYYY")&amp;" - " &amp;TEXT(Inputs!A40,"MM/DD/YYYY")</f>
        <v>09/01/2019 - 08/01/2022</v>
      </c>
      <c r="K34" s="18">
        <f>+SUM(Inputs!B40:B77)</f>
        <v>0</v>
      </c>
      <c r="L34" s="1">
        <f>COUNTIF(Inputs!B40:B77,"&gt;0")</f>
        <v>0</v>
      </c>
    </row>
    <row r="35" spans="9:12" x14ac:dyDescent="0.25">
      <c r="I35" s="26"/>
      <c r="J35" s="17" t="str">
        <f>TEXT(Inputs!A78,"MM/DD/YYYY")&amp;" - " &amp;TEXT(Inputs!A41,"MM/DD/YYYY")</f>
        <v>08/01/2019 - 07/01/2022</v>
      </c>
      <c r="K35" s="18">
        <f>+SUM(Inputs!B41:B78)</f>
        <v>0</v>
      </c>
      <c r="L35" s="1">
        <f>COUNTIF(Inputs!B41:B78,"&gt;0")</f>
        <v>0</v>
      </c>
    </row>
    <row r="36" spans="9:12" x14ac:dyDescent="0.25">
      <c r="I36" s="26"/>
      <c r="J36" s="17" t="str">
        <f>TEXT(Inputs!A79,"MM/DD/YYYY")&amp;" - " &amp;TEXT(Inputs!A42,"MM/DD/YYYY")</f>
        <v>07/01/2019 - 06/01/2022</v>
      </c>
      <c r="K36" s="18">
        <f>+SUM(Inputs!B42:B79)</f>
        <v>0</v>
      </c>
      <c r="L36" s="1">
        <f>COUNTIF(Inputs!B42:B79,"&gt;0")</f>
        <v>0</v>
      </c>
    </row>
    <row r="37" spans="9:12" x14ac:dyDescent="0.25">
      <c r="I37" s="26"/>
      <c r="J37" s="17" t="str">
        <f>TEXT(Inputs!A80,"MM/DD/YYYY")&amp;" - " &amp;TEXT(Inputs!A43,"MM/DD/YYYY")</f>
        <v>06/01/2019 - 05/01/2022</v>
      </c>
      <c r="K37" s="18">
        <f>+SUM(Inputs!B43:B80)</f>
        <v>0</v>
      </c>
      <c r="L37" s="1">
        <f>COUNTIF(Inputs!B43:B80,"&gt;0")</f>
        <v>0</v>
      </c>
    </row>
    <row r="38" spans="9:12" x14ac:dyDescent="0.25">
      <c r="I38" s="26"/>
      <c r="J38" s="17" t="str">
        <f>TEXT(Inputs!A81,"MM/DD/YYYY")&amp;" - " &amp;TEXT(Inputs!A44,"MM/DD/YYYY")</f>
        <v>05/01/2019 - 04/01/2022</v>
      </c>
      <c r="K38" s="18">
        <f>+SUM(Inputs!B44:B81)</f>
        <v>0</v>
      </c>
      <c r="L38" s="1">
        <f>COUNTIF(Inputs!B44:B81,"&gt;0")</f>
        <v>0</v>
      </c>
    </row>
    <row r="39" spans="9:12" x14ac:dyDescent="0.25">
      <c r="I39" s="26"/>
      <c r="J39" s="17" t="str">
        <f>TEXT(Inputs!A82,"MM/DD/YYYY")&amp;" - " &amp;TEXT(Inputs!A45,"MM/DD/YYYY")</f>
        <v>04/01/2019 - 03/01/2022</v>
      </c>
      <c r="K39" s="18">
        <f>+SUM(Inputs!B45:B82)</f>
        <v>0</v>
      </c>
      <c r="L39" s="1">
        <f>COUNTIF(Inputs!B45:B82,"&gt;0")</f>
        <v>0</v>
      </c>
    </row>
    <row r="40" spans="9:12" x14ac:dyDescent="0.25">
      <c r="I40" s="26"/>
      <c r="J40" s="17" t="str">
        <f>TEXT(Inputs!A83,"MM/DD/YYYY")&amp;" - " &amp;TEXT(Inputs!A46,"MM/DD/YYYY")</f>
        <v>03/01/2019 - 02/01/2022</v>
      </c>
      <c r="K40" s="18">
        <f>+SUM(Inputs!B46:B83)</f>
        <v>0</v>
      </c>
      <c r="L40" s="1">
        <f>COUNTIF(Inputs!B46:B83,"&gt;0")</f>
        <v>0</v>
      </c>
    </row>
    <row r="41" spans="9:12" x14ac:dyDescent="0.25">
      <c r="I41" s="26"/>
      <c r="J41" s="17" t="str">
        <f>TEXT(Inputs!A84,"MM/DD/YYYY")&amp;" - " &amp;TEXT(Inputs!A47,"MM/DD/YYYY")</f>
        <v>02/01/2019 - 01/01/2022</v>
      </c>
      <c r="K41" s="18">
        <f>+SUM(Inputs!B47:B84)</f>
        <v>0</v>
      </c>
      <c r="L41" s="1">
        <f>COUNTIF(Inputs!B47:B84,"&gt;0")</f>
        <v>0</v>
      </c>
    </row>
    <row r="42" spans="9:12" x14ac:dyDescent="0.25">
      <c r="I42" s="26"/>
      <c r="J42" s="17" t="str">
        <f>TEXT(Inputs!A85,"MM/DD/YYYY")&amp;" - " &amp;TEXT(Inputs!A48,"MM/DD/YYYY")</f>
        <v>01/01/2019 - 12/01/2021</v>
      </c>
      <c r="K42" s="18">
        <f>+SUM(Inputs!B48:B85)</f>
        <v>0</v>
      </c>
      <c r="L42" s="1">
        <f>COUNTIF(Inputs!B48:B85,"&gt;0")</f>
        <v>0</v>
      </c>
    </row>
    <row r="43" spans="9:12" x14ac:dyDescent="0.25">
      <c r="J43" s="17" t="str">
        <f>TEXT(Inputs!A86,"MM/DD/YYYY")&amp;" - " &amp;TEXT(Inputs!A49,"MM/DD/YYYY")</f>
        <v>12/01/2018 - 11/01/2021</v>
      </c>
      <c r="K43" s="18">
        <f>+SUM(Inputs!B49:B86)</f>
        <v>0</v>
      </c>
      <c r="L43" s="1">
        <f>COUNTIF(Inputs!B49:B86,"&gt;0")</f>
        <v>0</v>
      </c>
    </row>
    <row r="44" spans="9:12" x14ac:dyDescent="0.25">
      <c r="J44" s="17" t="str">
        <f>TEXT(Inputs!A87,"MM/DD/YYYY")&amp;" - " &amp;TEXT(Inputs!A50,"MM/DD/YYYY")</f>
        <v>11/01/2018 - 10/01/2021</v>
      </c>
      <c r="K44" s="18">
        <f>+SUM(Inputs!B50:B87)</f>
        <v>0</v>
      </c>
      <c r="L44" s="1">
        <f>COUNTIF(Inputs!B50:B87,"&gt;0")</f>
        <v>0</v>
      </c>
    </row>
    <row r="45" spans="9:12" x14ac:dyDescent="0.25">
      <c r="J45" s="17" t="str">
        <f>TEXT(Inputs!A88,"MM/DD/YYYY")&amp;" - " &amp;TEXT(Inputs!A51,"MM/DD/YYYY")</f>
        <v>10/01/2018 - 09/01/2021</v>
      </c>
      <c r="K45" s="18">
        <f>+SUM(Inputs!B51:B88)</f>
        <v>0</v>
      </c>
      <c r="L45" s="1">
        <f>COUNTIF(Inputs!B51:B88,"&gt;0")</f>
        <v>0</v>
      </c>
    </row>
    <row r="46" spans="9:12" x14ac:dyDescent="0.25">
      <c r="J46" s="17" t="str">
        <f>TEXT(Inputs!A89,"MM/DD/YYYY")&amp;" - " &amp;TEXT(Inputs!A52,"MM/DD/YYYY")</f>
        <v>09/01/2018 - 08/01/2021</v>
      </c>
      <c r="K46" s="18">
        <f>+SUM(Inputs!B52:B89)</f>
        <v>0</v>
      </c>
      <c r="L46" s="1">
        <f>COUNTIF(Inputs!B52:B89,"&gt;0")</f>
        <v>0</v>
      </c>
    </row>
    <row r="47" spans="9:12" x14ac:dyDescent="0.25">
      <c r="J47" s="17" t="str">
        <f>TEXT(Inputs!A90,"MM/DD/YYYY")&amp;" - " &amp;TEXT(Inputs!A53,"MM/DD/YYYY")</f>
        <v>08/01/2018 - 07/01/2021</v>
      </c>
      <c r="K47" s="18">
        <f>+SUM(Inputs!B53:B90)</f>
        <v>0</v>
      </c>
      <c r="L47" s="1">
        <f>COUNTIF(Inputs!B53:B90,"&gt;0")</f>
        <v>0</v>
      </c>
    </row>
    <row r="48" spans="9:12" x14ac:dyDescent="0.25">
      <c r="J48" s="17" t="str">
        <f>TEXT(Inputs!A91,"MM/DD/YYYY")&amp;" - " &amp;TEXT(Inputs!A54,"MM/DD/YYYY")</f>
        <v>07/01/2018 - 06/01/2021</v>
      </c>
      <c r="K48" s="18">
        <f>+SUM(Inputs!B54:B91)</f>
        <v>0</v>
      </c>
      <c r="L48" s="1">
        <f>COUNTIF(Inputs!B54:B91,"&gt;0")</f>
        <v>0</v>
      </c>
    </row>
    <row r="49" spans="10:12" x14ac:dyDescent="0.25">
      <c r="J49" s="17" t="str">
        <f>TEXT(Inputs!A92,"MM/DD/YYYY")&amp;" - " &amp;TEXT(Inputs!A55,"MM/DD/YYYY")</f>
        <v>06/01/2018 - 05/01/2021</v>
      </c>
      <c r="K49" s="18">
        <f>+SUM(Inputs!B55:B92)</f>
        <v>0</v>
      </c>
      <c r="L49" s="1">
        <f>COUNTIF(Inputs!B55:B92,"&gt;0")</f>
        <v>0</v>
      </c>
    </row>
    <row r="50" spans="10:12" x14ac:dyDescent="0.25">
      <c r="J50" s="17" t="str">
        <f>TEXT(Inputs!A93,"MM/DD/YYYY")&amp;" - " &amp;TEXT(Inputs!A56,"MM/DD/YYYY")</f>
        <v>05/01/2018 - 04/01/2021</v>
      </c>
      <c r="K50" s="18">
        <f>+SUM(Inputs!B56:B93)</f>
        <v>0</v>
      </c>
      <c r="L50" s="1">
        <f>COUNTIF(Inputs!B56:B93,"&gt;0")</f>
        <v>0</v>
      </c>
    </row>
    <row r="51" spans="10:12" x14ac:dyDescent="0.25">
      <c r="J51" s="17" t="str">
        <f>TEXT(Inputs!A94,"MM/DD/YYYY")&amp;" - " &amp;TEXT(Inputs!A57,"MM/DD/YYYY")</f>
        <v>04/01/2018 - 03/01/2021</v>
      </c>
      <c r="K51" s="18">
        <f>+SUM(Inputs!B57:B94)</f>
        <v>0</v>
      </c>
      <c r="L51" s="1">
        <f>COUNTIF(Inputs!B57:B94,"&gt;0")</f>
        <v>0</v>
      </c>
    </row>
    <row r="52" spans="10:12" x14ac:dyDescent="0.25">
      <c r="J52" s="17" t="str">
        <f>TEXT(Inputs!A95,"MM/DD/YYYY")&amp;" - " &amp;TEXT(Inputs!A58,"MM/DD/YYYY")</f>
        <v>03/01/2018 - 02/01/2021</v>
      </c>
      <c r="K52" s="18">
        <f>+SUM(Inputs!B58:B95)</f>
        <v>0</v>
      </c>
      <c r="L52" s="1">
        <f>COUNTIF(Inputs!B58:B95,"&gt;0")</f>
        <v>0</v>
      </c>
    </row>
    <row r="53" spans="10:12" x14ac:dyDescent="0.25">
      <c r="J53" s="17" t="str">
        <f>TEXT(Inputs!A96,"MM/DD/YYYY")&amp;" - " &amp;TEXT(Inputs!A59,"MM/DD/YYYY")</f>
        <v>02/01/2018 - 01/01/2021</v>
      </c>
      <c r="K53" s="18">
        <f>+SUM(Inputs!B59:B96)</f>
        <v>0</v>
      </c>
      <c r="L53" s="1">
        <f>COUNTIF(Inputs!B59:B96,"&gt;0")</f>
        <v>0</v>
      </c>
    </row>
    <row r="54" spans="10:12" x14ac:dyDescent="0.25">
      <c r="J54" s="17" t="str">
        <f>TEXT(Inputs!A97,"MM/DD/YYYY")&amp;" - " &amp;TEXT(Inputs!A60,"MM/DD/YYYY")</f>
        <v>01/01/2018 - 12/01/2020</v>
      </c>
      <c r="K54" s="18">
        <f>+SUM(Inputs!B60:B97)</f>
        <v>0</v>
      </c>
      <c r="L54" s="1">
        <f>COUNTIF(Inputs!B60:B97,"&gt;0")</f>
        <v>0</v>
      </c>
    </row>
    <row r="55" spans="10:12" x14ac:dyDescent="0.25">
      <c r="J55" s="17" t="str">
        <f>TEXT(Inputs!A98,"MM/DD/YYYY")&amp;" - " &amp;TEXT(Inputs!A61,"MM/DD/YYYY")</f>
        <v>12/01/2017 - 11/01/2020</v>
      </c>
      <c r="K55" s="18">
        <f>+SUM(Inputs!B61:B98)</f>
        <v>0</v>
      </c>
      <c r="L55" s="1">
        <f>COUNTIF(Inputs!B61:B98,"&gt;0")</f>
        <v>0</v>
      </c>
    </row>
    <row r="56" spans="10:12" x14ac:dyDescent="0.25">
      <c r="J56" s="17" t="str">
        <f>TEXT(Inputs!A99,"MM/DD/YYYY")&amp;" - " &amp;TEXT(Inputs!A62,"MM/DD/YYYY")</f>
        <v>11/01/2017 - 10/01/2020</v>
      </c>
      <c r="K56" s="18">
        <f>+SUM(Inputs!B62:B99)</f>
        <v>0</v>
      </c>
      <c r="L56" s="1">
        <f>COUNTIF(Inputs!B62:B99,"&gt;0")</f>
        <v>0</v>
      </c>
    </row>
    <row r="57" spans="10:12" x14ac:dyDescent="0.25">
      <c r="J57" s="17" t="str">
        <f>TEXT(Inputs!A100,"MM/DD/YYYY")&amp;" - " &amp;TEXT(Inputs!A63,"MM/DD/YYYY")</f>
        <v>10/01/2017 - 09/01/2020</v>
      </c>
      <c r="K57" s="18">
        <f>+SUM(Inputs!B63:B100)</f>
        <v>0</v>
      </c>
      <c r="L57" s="1">
        <f>COUNTIF(Inputs!B63:B100,"&gt;0")</f>
        <v>0</v>
      </c>
    </row>
    <row r="58" spans="10:12" x14ac:dyDescent="0.25">
      <c r="J58" s="17" t="str">
        <f>TEXT(Inputs!A101,"MM/DD/YYYY")&amp;" - " &amp;TEXT(Inputs!A64,"MM/DD/YYYY")</f>
        <v>09/01/2017 - 08/01/2020</v>
      </c>
      <c r="K58" s="18">
        <f>+SUM(Inputs!B64:B101)</f>
        <v>0</v>
      </c>
      <c r="L58" s="1">
        <f>COUNTIF(Inputs!B64:B101,"&gt;0")</f>
        <v>0</v>
      </c>
    </row>
    <row r="59" spans="10:12" x14ac:dyDescent="0.25">
      <c r="J59" s="17" t="str">
        <f>TEXT(Inputs!A102,"MM/DD/YYYY")&amp;" - " &amp;TEXT(Inputs!A65,"MM/DD/YYYY")</f>
        <v>08/01/2017 - 07/01/2020</v>
      </c>
      <c r="K59" s="18">
        <f>+SUM(Inputs!B65:B102)</f>
        <v>0</v>
      </c>
      <c r="L59" s="1">
        <f>COUNTIF(Inputs!B65:B102,"&gt;0")</f>
        <v>0</v>
      </c>
    </row>
    <row r="60" spans="10:12" x14ac:dyDescent="0.25">
      <c r="J60" s="17" t="str">
        <f>TEXT(Inputs!A103,"MM/DD/YYYY")&amp;" - " &amp;TEXT(Inputs!A66,"MM/DD/YYYY")</f>
        <v>07/01/2017 - 06/01/2020</v>
      </c>
      <c r="K60" s="18">
        <f>+SUM(Inputs!B66:B103)</f>
        <v>0</v>
      </c>
      <c r="L60" s="1">
        <f>COUNTIF(Inputs!B66:B103,"&gt;0")</f>
        <v>0</v>
      </c>
    </row>
    <row r="61" spans="10:12" x14ac:dyDescent="0.25">
      <c r="J61" s="17" t="str">
        <f>TEXT(Inputs!A104,"MM/DD/YYYY")&amp;" - " &amp;TEXT(Inputs!A67,"MM/DD/YYYY")</f>
        <v>06/01/2017 - 05/01/2020</v>
      </c>
      <c r="K61" s="18">
        <f>+SUM(Inputs!B67:B104)</f>
        <v>0</v>
      </c>
      <c r="L61" s="1">
        <f>COUNTIF(Inputs!B67:B104,"&gt;0")</f>
        <v>0</v>
      </c>
    </row>
    <row r="62" spans="10:12" x14ac:dyDescent="0.25">
      <c r="J62" s="17" t="str">
        <f>TEXT(Inputs!A105,"MM/DD/YYYY")&amp;" - " &amp;TEXT(Inputs!A68,"MM/DD/YYYY")</f>
        <v>05/01/2017 - 04/01/2020</v>
      </c>
      <c r="K62" s="18">
        <f>+SUM(Inputs!B68:B105)</f>
        <v>0</v>
      </c>
      <c r="L62" s="1">
        <f>COUNTIF(Inputs!B68:B105,"&gt;0")</f>
        <v>0</v>
      </c>
    </row>
    <row r="63" spans="10:12" x14ac:dyDescent="0.25">
      <c r="J63" s="17" t="str">
        <f>TEXT(Inputs!A106,"MM/DD/YYYY")&amp;" - " &amp;TEXT(Inputs!A69,"MM/DD/YYYY")</f>
        <v>04/01/2017 - 03/01/2020</v>
      </c>
      <c r="K63" s="18">
        <f>+SUM(Inputs!B69:B106)</f>
        <v>0</v>
      </c>
      <c r="L63" s="1">
        <f>COUNTIF(Inputs!B69:B106,"&gt;0")</f>
        <v>0</v>
      </c>
    </row>
    <row r="64" spans="10:12" x14ac:dyDescent="0.25">
      <c r="J64" s="17" t="str">
        <f>TEXT(Inputs!A107,"MM/DD/YYYY")&amp;" - " &amp;TEXT(Inputs!A70,"MM/DD/YYYY")</f>
        <v>03/01/2017 - 02/01/2020</v>
      </c>
      <c r="K64" s="18">
        <f>+SUM(Inputs!B70:B107)</f>
        <v>0</v>
      </c>
      <c r="L64" s="1">
        <f>COUNTIF(Inputs!B70:B107,"&gt;0")</f>
        <v>0</v>
      </c>
    </row>
    <row r="65" spans="10:12" x14ac:dyDescent="0.25">
      <c r="J65" s="17" t="str">
        <f>TEXT(Inputs!A108,"MM/DD/YYYY")&amp;" - " &amp;TEXT(Inputs!A71,"MM/DD/YYYY")</f>
        <v>02/01/2017 - 01/01/2020</v>
      </c>
      <c r="K65" s="18">
        <f>+SUM(Inputs!B71:B108)</f>
        <v>0</v>
      </c>
      <c r="L65" s="1">
        <f>COUNTIF(Inputs!B71:B108,"&gt;0")</f>
        <v>0</v>
      </c>
    </row>
    <row r="66" spans="10:12" x14ac:dyDescent="0.25">
      <c r="J66" s="17" t="str">
        <f>TEXT(Inputs!A109,"MM/DD/YYYY")&amp;" - " &amp;TEXT(Inputs!A74,"MM/DD/YYYY")</f>
        <v>01/01/2017 - 12/01/2019</v>
      </c>
      <c r="K66" s="80">
        <f>+SUM(Inputs!B74:B109)</f>
        <v>0</v>
      </c>
      <c r="L66" s="68">
        <f>COUNTIF(Inputs!B74:B109,"&gt;0")</f>
        <v>0</v>
      </c>
    </row>
    <row r="67" spans="10:12" x14ac:dyDescent="0.25">
      <c r="J67" s="17" t="str">
        <f>TEXT(Inputs!A110,"MM/DD/YYYY")&amp;" - " &amp;TEXT(Inputs!A75,"MM/DD/YYYY")</f>
        <v>12/01/2016 - 11/01/2019</v>
      </c>
      <c r="K67" s="18">
        <f>+SUM(Inputs!B75:B110)</f>
        <v>0</v>
      </c>
      <c r="L67" s="68">
        <f>COUNTIF(Inputs!B75:B110,"&gt;0")</f>
        <v>0</v>
      </c>
    </row>
    <row r="68" spans="10:12" x14ac:dyDescent="0.25">
      <c r="J68" s="17" t="str">
        <f>TEXT(Inputs!A111,"MM/DD/YYYY")&amp;" - " &amp;TEXT(Inputs!A76,"MM/DD/YYYY")</f>
        <v>11/01/2016 - 10/01/2019</v>
      </c>
      <c r="K68" s="18">
        <f>+SUM(Inputs!B76:B111)</f>
        <v>0</v>
      </c>
      <c r="L68" s="68">
        <f>COUNTIF(Inputs!B76:B111,"&gt;0")</f>
        <v>0</v>
      </c>
    </row>
    <row r="69" spans="10:12" x14ac:dyDescent="0.25">
      <c r="J69" s="17" t="str">
        <f>TEXT(Inputs!A112,"MM/DD/YYYY")&amp;" - " &amp;TEXT(Inputs!A77,"MM/DD/YYYY")</f>
        <v>10/01/2016 - 09/01/2019</v>
      </c>
      <c r="K69" s="18">
        <f>+SUM(Inputs!B77:B112)</f>
        <v>0</v>
      </c>
      <c r="L69" s="68">
        <f>COUNTIF(Inputs!B77:B112,"&gt;0")</f>
        <v>0</v>
      </c>
    </row>
    <row r="70" spans="10:12" x14ac:dyDescent="0.25">
      <c r="J70" s="17" t="str">
        <f>TEXT(Inputs!A113,"MM/DD/YYYY")&amp;" - " &amp;TEXT(Inputs!A78,"MM/DD/YYYY")</f>
        <v>09/01/2016 - 08/01/2019</v>
      </c>
      <c r="K70" s="18">
        <f>+SUM(Inputs!B78:B113)</f>
        <v>0</v>
      </c>
      <c r="L70" s="68">
        <f>COUNTIF(Inputs!B78:B113,"&gt;0")</f>
        <v>0</v>
      </c>
    </row>
    <row r="71" spans="10:12" x14ac:dyDescent="0.25">
      <c r="J71" s="17" t="str">
        <f>TEXT(Inputs!A114,"MM/DD/YYYY")&amp;" - " &amp;TEXT(Inputs!A79,"MM/DD/YYYY")</f>
        <v>08/01/2016 - 07/01/2019</v>
      </c>
      <c r="K71" s="18">
        <f>+SUM(Inputs!B79:B114)</f>
        <v>0</v>
      </c>
      <c r="L71" s="68">
        <f>COUNTIF(Inputs!B79:B114,"&gt;0")</f>
        <v>0</v>
      </c>
    </row>
    <row r="72" spans="10:12" x14ac:dyDescent="0.25">
      <c r="J72" s="17" t="str">
        <f>TEXT(Inputs!A115,"MM/DD/YYYY")&amp;" - " &amp;TEXT(Inputs!A80,"MM/DD/YYYY")</f>
        <v>07/01/2016 - 06/01/2019</v>
      </c>
      <c r="K72" s="18">
        <f>+SUM(Inputs!B80:B115)</f>
        <v>0</v>
      </c>
      <c r="L72" s="68">
        <f>COUNTIF(Inputs!B80:B115,"&gt;0")</f>
        <v>0</v>
      </c>
    </row>
    <row r="73" spans="10:12" x14ac:dyDescent="0.25">
      <c r="J73" s="17" t="str">
        <f>TEXT(Inputs!A116,"MM/DD/YYYY")&amp;" - " &amp;TEXT(Inputs!A81,"MM/DD/YYYY")</f>
        <v>06/01/2016 - 05/01/2019</v>
      </c>
      <c r="K73" s="18">
        <f>+SUM(Inputs!B81:B116)</f>
        <v>0</v>
      </c>
      <c r="L73" s="68">
        <f>COUNTIF(Inputs!B81:B116,"&gt;0")</f>
        <v>0</v>
      </c>
    </row>
    <row r="74" spans="10:12" x14ac:dyDescent="0.25">
      <c r="J74" s="17" t="str">
        <f>TEXT(Inputs!A117,"MM/DD/YYYY")&amp;" - " &amp;TEXT(Inputs!A82,"MM/DD/YYYY")</f>
        <v>05/01/2016 - 04/01/2019</v>
      </c>
      <c r="K74" s="18">
        <f>+SUM(Inputs!B82:B117)</f>
        <v>0</v>
      </c>
      <c r="L74" s="68">
        <f>COUNTIF(Inputs!B82:B117,"&gt;0")</f>
        <v>0</v>
      </c>
    </row>
    <row r="75" spans="10:12" x14ac:dyDescent="0.25">
      <c r="J75" s="17" t="str">
        <f>TEXT(Inputs!A118,"MM/DD/YYYY")&amp;" - " &amp;TEXT(Inputs!A83,"MM/DD/YYYY")</f>
        <v>04/01/2016 - 03/01/2019</v>
      </c>
      <c r="K75" s="18">
        <f>+SUM(Inputs!B83:B118)</f>
        <v>0</v>
      </c>
      <c r="L75" s="68">
        <f>COUNTIF(Inputs!B83:B118,"&gt;0")</f>
        <v>0</v>
      </c>
    </row>
    <row r="76" spans="10:12" x14ac:dyDescent="0.25">
      <c r="J76" s="17" t="str">
        <f>TEXT(Inputs!A119,"MM/DD/YYYY")&amp;" - " &amp;TEXT(Inputs!A84,"MM/DD/YYYY")</f>
        <v>03/01/2016 - 02/01/2019</v>
      </c>
      <c r="K76" s="18">
        <f>+SUM(Inputs!B84:B119)</f>
        <v>0</v>
      </c>
      <c r="L76" s="68">
        <f>COUNTIF(Inputs!B84:B119,"&gt;0")</f>
        <v>0</v>
      </c>
    </row>
    <row r="77" spans="10:12" x14ac:dyDescent="0.25">
      <c r="J77" s="17" t="str">
        <f>TEXT(Inputs!A120,"MM/DD/YYYY")&amp;" - " &amp;TEXT(Inputs!A85,"MM/DD/YYYY")</f>
        <v>02/01/2016 - 01/01/2019</v>
      </c>
      <c r="K77" s="18">
        <f>+SUM(Inputs!B85:B120)</f>
        <v>0</v>
      </c>
      <c r="L77" s="68">
        <f>COUNTIF(Inputs!B85:B120,"&gt;0")</f>
        <v>0</v>
      </c>
    </row>
    <row r="78" spans="10:12" x14ac:dyDescent="0.25">
      <c r="J78" s="17" t="str">
        <f>TEXT(Inputs!A121,"MM/DD/YYYY")&amp;" - " &amp;TEXT(Inputs!A86,"MM/DD/YYYY")</f>
        <v>01/01/2016 - 12/01/2018</v>
      </c>
      <c r="K78" s="18">
        <f>+SUM(Inputs!B86:B121)</f>
        <v>0</v>
      </c>
      <c r="L78" s="68">
        <f>COUNTIF(Inputs!B86:B121,"&gt;0")</f>
        <v>0</v>
      </c>
    </row>
    <row r="79" spans="10:12" x14ac:dyDescent="0.25">
      <c r="J79" s="17" t="str">
        <f>TEXT(Inputs!A122,"MM/DD/YYYY")&amp;" - " &amp;TEXT(Inputs!A87,"MM/DD/YYYY")</f>
        <v>12/01/2015 - 11/01/2018</v>
      </c>
      <c r="K79" s="18">
        <f>+SUM(Inputs!B87:B122)</f>
        <v>0</v>
      </c>
      <c r="L79" s="68">
        <f>COUNTIF(Inputs!B87:B122,"&gt;0")</f>
        <v>0</v>
      </c>
    </row>
    <row r="80" spans="10:12" x14ac:dyDescent="0.25">
      <c r="J80" s="17" t="str">
        <f>TEXT(Inputs!A123,"MM/DD/YYYY")&amp;" - " &amp;TEXT(Inputs!A88,"MM/DD/YYYY")</f>
        <v>11/01/2015 - 10/01/2018</v>
      </c>
      <c r="K80" s="18">
        <f>+SUM(Inputs!B88:B123)</f>
        <v>0</v>
      </c>
      <c r="L80" s="68">
        <f>COUNTIF(Inputs!B88:B123,"&gt;0")</f>
        <v>0</v>
      </c>
    </row>
    <row r="81" spans="10:12" x14ac:dyDescent="0.25">
      <c r="J81" s="17" t="str">
        <f>TEXT(Inputs!A124,"MM/DD/YYYY")&amp;" - " &amp;TEXT(Inputs!A89,"MM/DD/YYYY")</f>
        <v>10/01/2015 - 09/01/2018</v>
      </c>
      <c r="K81" s="18">
        <f>+SUM(Inputs!B89:B124)</f>
        <v>0</v>
      </c>
      <c r="L81" s="68">
        <f>COUNTIF(Inputs!B89:B124,"&gt;0")</f>
        <v>0</v>
      </c>
    </row>
    <row r="82" spans="10:12" x14ac:dyDescent="0.25">
      <c r="J82" s="17" t="str">
        <f>TEXT(Inputs!A125,"MM/DD/YYYY")&amp;" - " &amp;TEXT(Inputs!A90,"MM/DD/YYYY")</f>
        <v>09/01/2015 - 08/01/2018</v>
      </c>
      <c r="K82" s="18">
        <f>+SUM(Inputs!B90:B125)</f>
        <v>0</v>
      </c>
      <c r="L82" s="68">
        <f>COUNTIF(Inputs!B90:B125,"&gt;0")</f>
        <v>0</v>
      </c>
    </row>
    <row r="83" spans="10:12" x14ac:dyDescent="0.25">
      <c r="J83" s="17" t="str">
        <f>TEXT(Inputs!A126,"MM/DD/YYYY")&amp;" - " &amp;TEXT(Inputs!A91,"MM/DD/YYYY")</f>
        <v>08/01/2015 - 07/01/2018</v>
      </c>
      <c r="K83" s="18">
        <f>+SUM(Inputs!B91:B126)</f>
        <v>0</v>
      </c>
      <c r="L83" s="68">
        <f>COUNTIF(Inputs!B91:B126,"&gt;0")</f>
        <v>0</v>
      </c>
    </row>
    <row r="84" spans="10:12" x14ac:dyDescent="0.25">
      <c r="J84" s="17" t="str">
        <f>TEXT(Inputs!A127,"MM/DD/YYYY")&amp;" - " &amp;TEXT(Inputs!A92,"MM/DD/YYYY")</f>
        <v>07/01/2015 - 06/01/2018</v>
      </c>
      <c r="K84" s="18">
        <f>+SUM(Inputs!B92:B127)</f>
        <v>0</v>
      </c>
      <c r="L84" s="68">
        <f>COUNTIF(Inputs!B92:B127,"&gt;0")</f>
        <v>0</v>
      </c>
    </row>
    <row r="85" spans="10:12" x14ac:dyDescent="0.25">
      <c r="J85" s="17" t="str">
        <f>TEXT(Inputs!A128,"MM/DD/YYYY")&amp;" - " &amp;TEXT(Inputs!A93,"MM/DD/YYYY")</f>
        <v>06/01/2015 - 05/01/2018</v>
      </c>
      <c r="K85" s="18">
        <f>+SUM(Inputs!B93:B128)</f>
        <v>0</v>
      </c>
      <c r="L85" s="68">
        <f>COUNTIF(Inputs!B93:B128,"&gt;0")</f>
        <v>0</v>
      </c>
    </row>
    <row r="86" spans="10:12" x14ac:dyDescent="0.25">
      <c r="J86" s="17" t="str">
        <f>TEXT(Inputs!A129,"MM/DD/YYYY")&amp;" - " &amp;TEXT(Inputs!A94,"MM/DD/YYYY")</f>
        <v>05/01/2015 - 04/01/2018</v>
      </c>
      <c r="K86" s="18">
        <f>+SUM(Inputs!B94:B129)</f>
        <v>0</v>
      </c>
      <c r="L86" s="68">
        <f>COUNTIF(Inputs!B94:B129,"&gt;0")</f>
        <v>0</v>
      </c>
    </row>
    <row r="87" spans="10:12" x14ac:dyDescent="0.25">
      <c r="J87" s="17" t="str">
        <f>TEXT(Inputs!A130,"MM/DD/YYYY")&amp;" - " &amp;TEXT(Inputs!A95,"MM/DD/YYYY")</f>
        <v>04/01/2015 - 03/01/2018</v>
      </c>
      <c r="K87" s="18">
        <f>+SUM(Inputs!B95:B130)</f>
        <v>0</v>
      </c>
      <c r="L87" s="68">
        <f>COUNTIF(Inputs!B95:B130,"&gt;0")</f>
        <v>0</v>
      </c>
    </row>
    <row r="88" spans="10:12" x14ac:dyDescent="0.25">
      <c r="J88" s="17" t="str">
        <f>TEXT(Inputs!A131,"MM/DD/YYYY")&amp;" - " &amp;TEXT(Inputs!A96,"MM/DD/YYYY")</f>
        <v>03/01/2015 - 02/01/2018</v>
      </c>
      <c r="K88" s="18">
        <f>+SUM(Inputs!B96:B131)</f>
        <v>0</v>
      </c>
      <c r="L88" s="68">
        <f>COUNTIF(Inputs!B96:B131,"&gt;0")</f>
        <v>0</v>
      </c>
    </row>
    <row r="89" spans="10:12" x14ac:dyDescent="0.25">
      <c r="J89" s="17" t="str">
        <f>TEXT(Inputs!A132,"MM/DD/YYYY")&amp;" - " &amp;TEXT(Inputs!A97,"MM/DD/YYYY")</f>
        <v>02/01/2015 - 01/01/2018</v>
      </c>
      <c r="K89" s="18">
        <f>+SUM(Inputs!B97:B132)</f>
        <v>0</v>
      </c>
      <c r="L89" s="68">
        <f>COUNTIF(Inputs!B97:B132,"&gt;0")</f>
        <v>0</v>
      </c>
    </row>
    <row r="90" spans="10:12" x14ac:dyDescent="0.25">
      <c r="J90" s="17" t="str">
        <f>TEXT(Inputs!A133,"MM/DD/YYYY")&amp;" - " &amp;TEXT(Inputs!A98,"MM/DD/YYYY")</f>
        <v>01/01/2015 - 12/01/2017</v>
      </c>
      <c r="K90" s="18">
        <f>+SUM(Inputs!B98:B133)</f>
        <v>0</v>
      </c>
      <c r="L90" s="68">
        <f>COUNTIF(Inputs!B98:B133,"&gt;0")</f>
        <v>0</v>
      </c>
    </row>
  </sheetData>
  <sheetProtection algorithmName="SHA-512" hashValue="N6PesEWnZfuh0y5FQJi2Tip6RlnPDwRnpn8tnCWN2K3rUm4IXIHynDFP8gAxCbAw143gz45Bjs2b3Pfkl2h5hw==" saltValue="i3l7yLRrRAJsxVhJMO3OdQ==" spinCount="100000" sheet="1" objects="1" scenarios="1"/>
  <pageMargins left="0.25" right="0.25" top="0.75" bottom="0.75" header="0.3" footer="0.3"/>
  <pageSetup orientation="landscape" r:id="rId1"/>
  <headerFooter>
    <oddFooter>&amp;L&amp;Z&amp;F!&amp;A&amp;R&amp;D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37"/>
  <sheetViews>
    <sheetView workbookViewId="0">
      <selection activeCell="C31" sqref="C31"/>
    </sheetView>
  </sheetViews>
  <sheetFormatPr defaultRowHeight="12.5" x14ac:dyDescent="0.25"/>
  <cols>
    <col min="1" max="4" width="14.26953125" customWidth="1"/>
    <col min="5" max="5" width="13.453125" customWidth="1"/>
    <col min="6" max="6" width="14.1796875" customWidth="1"/>
  </cols>
  <sheetData>
    <row r="2" spans="1:7" ht="15.5" x14ac:dyDescent="0.35">
      <c r="A2" s="32" t="str">
        <f>+'Withdrawal Liability'!A2</f>
        <v xml:space="preserve">SEIU Affiliates Officers and Employees Pension Plan (United States) </v>
      </c>
      <c r="B2" s="34"/>
      <c r="C2" s="32"/>
      <c r="D2" s="34"/>
      <c r="E2" s="34"/>
      <c r="F2" s="34"/>
      <c r="G2" s="34"/>
    </row>
    <row r="3" spans="1:7" ht="15.5" x14ac:dyDescent="0.35">
      <c r="A3" s="32" t="s">
        <v>38</v>
      </c>
      <c r="B3" s="34"/>
      <c r="C3" s="32"/>
      <c r="D3" s="34"/>
      <c r="E3" s="34"/>
      <c r="F3" s="34"/>
      <c r="G3" s="34"/>
    </row>
    <row r="5" spans="1:7" ht="13" x14ac:dyDescent="0.3">
      <c r="A5" s="68"/>
      <c r="B5" s="69" t="s">
        <v>39</v>
      </c>
      <c r="C5" s="68"/>
      <c r="D5" s="69" t="s">
        <v>40</v>
      </c>
    </row>
    <row r="6" spans="1:7" x14ac:dyDescent="0.25">
      <c r="A6" s="68" t="s">
        <v>41</v>
      </c>
      <c r="B6" s="68" t="s">
        <v>42</v>
      </c>
      <c r="C6" s="68" t="s">
        <v>41</v>
      </c>
      <c r="D6" s="68" t="s">
        <v>43</v>
      </c>
    </row>
    <row r="7" spans="1:7" x14ac:dyDescent="0.25">
      <c r="A7" s="70" t="s">
        <v>44</v>
      </c>
      <c r="B7" s="70" t="s">
        <v>45</v>
      </c>
      <c r="C7" s="70" t="s">
        <v>44</v>
      </c>
      <c r="D7" s="70" t="s">
        <v>46</v>
      </c>
    </row>
    <row r="9" spans="1:7" x14ac:dyDescent="0.25">
      <c r="A9" s="1">
        <v>0</v>
      </c>
      <c r="B9" s="35">
        <f t="shared" ref="B9:B29" si="0">ROUND(PV($C$31,A9,-1,,1),6)</f>
        <v>0</v>
      </c>
      <c r="C9" s="1">
        <v>0</v>
      </c>
      <c r="D9" s="35">
        <f t="shared" ref="D9:D29" si="1">ROUND((1+$C$31)^C9,6)</f>
        <v>1</v>
      </c>
    </row>
    <row r="10" spans="1:7" x14ac:dyDescent="0.25">
      <c r="A10" s="1">
        <v>1</v>
      </c>
      <c r="B10" s="35">
        <f t="shared" si="0"/>
        <v>1</v>
      </c>
      <c r="C10" s="1">
        <v>1</v>
      </c>
      <c r="D10" s="35">
        <f t="shared" si="1"/>
        <v>1.07</v>
      </c>
    </row>
    <row r="11" spans="1:7" x14ac:dyDescent="0.25">
      <c r="A11" s="1">
        <v>2</v>
      </c>
      <c r="B11" s="35">
        <f t="shared" si="0"/>
        <v>1.934579</v>
      </c>
      <c r="C11" s="1">
        <v>2</v>
      </c>
      <c r="D11" s="35">
        <f t="shared" si="1"/>
        <v>1.1449</v>
      </c>
    </row>
    <row r="12" spans="1:7" x14ac:dyDescent="0.25">
      <c r="A12" s="1">
        <v>3</v>
      </c>
      <c r="B12" s="35">
        <f t="shared" si="0"/>
        <v>2.8080180000000001</v>
      </c>
      <c r="C12" s="1">
        <v>3</v>
      </c>
      <c r="D12" s="35">
        <f t="shared" si="1"/>
        <v>1.2250430000000001</v>
      </c>
    </row>
    <row r="13" spans="1:7" x14ac:dyDescent="0.25">
      <c r="A13" s="1">
        <v>4</v>
      </c>
      <c r="B13" s="35">
        <f t="shared" si="0"/>
        <v>3.6243159999999999</v>
      </c>
      <c r="C13" s="1">
        <v>4</v>
      </c>
      <c r="D13" s="35">
        <f t="shared" si="1"/>
        <v>1.3107960000000001</v>
      </c>
    </row>
    <row r="14" spans="1:7" x14ac:dyDescent="0.25">
      <c r="A14" s="1">
        <v>5</v>
      </c>
      <c r="B14" s="35">
        <f t="shared" si="0"/>
        <v>4.3872109999999997</v>
      </c>
      <c r="C14" s="1">
        <v>5</v>
      </c>
      <c r="D14" s="35">
        <f t="shared" si="1"/>
        <v>1.402552</v>
      </c>
    </row>
    <row r="15" spans="1:7" x14ac:dyDescent="0.25">
      <c r="A15" s="1">
        <v>6</v>
      </c>
      <c r="B15" s="35">
        <f t="shared" si="0"/>
        <v>5.1001969999999996</v>
      </c>
      <c r="C15" s="1">
        <v>6</v>
      </c>
      <c r="D15" s="35">
        <f t="shared" si="1"/>
        <v>1.5007299999999999</v>
      </c>
    </row>
    <row r="16" spans="1:7" x14ac:dyDescent="0.25">
      <c r="A16" s="1">
        <v>7</v>
      </c>
      <c r="B16" s="35">
        <f t="shared" si="0"/>
        <v>5.76654</v>
      </c>
      <c r="C16" s="1">
        <v>7</v>
      </c>
      <c r="D16" s="35">
        <f t="shared" si="1"/>
        <v>1.6057809999999999</v>
      </c>
    </row>
    <row r="17" spans="1:4" x14ac:dyDescent="0.25">
      <c r="A17" s="1">
        <v>8</v>
      </c>
      <c r="B17" s="35">
        <f t="shared" si="0"/>
        <v>6.3892889999999998</v>
      </c>
      <c r="C17" s="1">
        <v>8</v>
      </c>
      <c r="D17" s="35">
        <f t="shared" si="1"/>
        <v>1.718186</v>
      </c>
    </row>
    <row r="18" spans="1:4" x14ac:dyDescent="0.25">
      <c r="A18" s="1">
        <v>9</v>
      </c>
      <c r="B18" s="35">
        <f t="shared" si="0"/>
        <v>6.9712990000000001</v>
      </c>
      <c r="C18" s="1">
        <v>9</v>
      </c>
      <c r="D18" s="35">
        <f t="shared" si="1"/>
        <v>1.8384590000000001</v>
      </c>
    </row>
    <row r="19" spans="1:4" x14ac:dyDescent="0.25">
      <c r="A19" s="1">
        <v>10</v>
      </c>
      <c r="B19" s="35">
        <f t="shared" si="0"/>
        <v>7.5152320000000001</v>
      </c>
      <c r="C19" s="1">
        <v>10</v>
      </c>
      <c r="D19" s="35">
        <f t="shared" si="1"/>
        <v>1.9671510000000001</v>
      </c>
    </row>
    <row r="20" spans="1:4" x14ac:dyDescent="0.25">
      <c r="A20" s="1">
        <v>11</v>
      </c>
      <c r="B20" s="35">
        <f t="shared" si="0"/>
        <v>8.0235819999999993</v>
      </c>
      <c r="C20" s="1">
        <v>11</v>
      </c>
      <c r="D20" s="35">
        <f t="shared" si="1"/>
        <v>2.1048520000000002</v>
      </c>
    </row>
    <row r="21" spans="1:4" x14ac:dyDescent="0.25">
      <c r="A21" s="1">
        <v>12</v>
      </c>
      <c r="B21" s="35">
        <f t="shared" si="0"/>
        <v>8.4986739999999994</v>
      </c>
      <c r="C21" s="1">
        <v>12</v>
      </c>
      <c r="D21" s="35">
        <f t="shared" si="1"/>
        <v>2.252192</v>
      </c>
    </row>
    <row r="22" spans="1:4" x14ac:dyDescent="0.25">
      <c r="A22" s="1">
        <v>13</v>
      </c>
      <c r="B22" s="35">
        <f t="shared" si="0"/>
        <v>8.9426860000000001</v>
      </c>
      <c r="C22" s="1">
        <v>13</v>
      </c>
      <c r="D22" s="35">
        <f t="shared" si="1"/>
        <v>2.4098449999999998</v>
      </c>
    </row>
    <row r="23" spans="1:4" x14ac:dyDescent="0.25">
      <c r="A23" s="1">
        <v>14</v>
      </c>
      <c r="B23" s="35">
        <f t="shared" si="0"/>
        <v>9.3576510000000006</v>
      </c>
      <c r="C23" s="1">
        <v>14</v>
      </c>
      <c r="D23" s="35">
        <f t="shared" si="1"/>
        <v>2.5785339999999999</v>
      </c>
    </row>
    <row r="24" spans="1:4" x14ac:dyDescent="0.25">
      <c r="A24" s="1">
        <v>15</v>
      </c>
      <c r="B24" s="35">
        <f t="shared" si="0"/>
        <v>9.7454680000000007</v>
      </c>
      <c r="C24" s="1">
        <v>15</v>
      </c>
      <c r="D24" s="35">
        <f t="shared" si="1"/>
        <v>2.7590319999999999</v>
      </c>
    </row>
    <row r="25" spans="1:4" x14ac:dyDescent="0.25">
      <c r="A25" s="1">
        <v>16</v>
      </c>
      <c r="B25" s="35">
        <f t="shared" si="0"/>
        <v>10.107913999999999</v>
      </c>
      <c r="C25" s="1">
        <v>16</v>
      </c>
      <c r="D25" s="35">
        <f t="shared" si="1"/>
        <v>2.9521639999999998</v>
      </c>
    </row>
    <row r="26" spans="1:4" x14ac:dyDescent="0.25">
      <c r="A26" s="1">
        <v>17</v>
      </c>
      <c r="B26" s="35">
        <f t="shared" si="0"/>
        <v>10.446649000000001</v>
      </c>
      <c r="C26" s="1">
        <v>17</v>
      </c>
      <c r="D26" s="35">
        <f t="shared" si="1"/>
        <v>3.1588150000000002</v>
      </c>
    </row>
    <row r="27" spans="1:4" x14ac:dyDescent="0.25">
      <c r="A27" s="1">
        <v>18</v>
      </c>
      <c r="B27" s="35">
        <f t="shared" si="0"/>
        <v>10.763223</v>
      </c>
      <c r="C27" s="1">
        <v>18</v>
      </c>
      <c r="D27" s="35">
        <f t="shared" si="1"/>
        <v>3.3799320000000002</v>
      </c>
    </row>
    <row r="28" spans="1:4" x14ac:dyDescent="0.25">
      <c r="A28" s="1">
        <v>19</v>
      </c>
      <c r="B28" s="35">
        <f t="shared" si="0"/>
        <v>11.059087</v>
      </c>
      <c r="C28" s="1">
        <v>19</v>
      </c>
      <c r="D28" s="35">
        <f t="shared" si="1"/>
        <v>3.6165280000000002</v>
      </c>
    </row>
    <row r="29" spans="1:4" x14ac:dyDescent="0.25">
      <c r="A29" s="1">
        <v>20</v>
      </c>
      <c r="B29" s="35">
        <f t="shared" si="0"/>
        <v>11.335595</v>
      </c>
      <c r="C29" s="1">
        <v>20</v>
      </c>
      <c r="D29" s="35">
        <f t="shared" si="1"/>
        <v>3.8696839999999999</v>
      </c>
    </row>
    <row r="30" spans="1:4" x14ac:dyDescent="0.25">
      <c r="B30" s="36"/>
      <c r="D30" s="36"/>
    </row>
    <row r="31" spans="1:4" x14ac:dyDescent="0.25">
      <c r="A31" s="40"/>
      <c r="B31" s="37" t="s">
        <v>47</v>
      </c>
      <c r="C31" s="51">
        <v>7.0000000000000007E-2</v>
      </c>
      <c r="D31" s="37"/>
    </row>
    <row r="34" spans="5:6" x14ac:dyDescent="0.25">
      <c r="E34" s="24"/>
      <c r="F34" s="31"/>
    </row>
    <row r="35" spans="5:6" x14ac:dyDescent="0.25">
      <c r="E35" s="38"/>
      <c r="F35" s="31"/>
    </row>
    <row r="36" spans="5:6" x14ac:dyDescent="0.25">
      <c r="E36" s="39"/>
      <c r="F36" s="31"/>
    </row>
    <row r="37" spans="5:6" x14ac:dyDescent="0.25">
      <c r="E37" s="26"/>
      <c r="F37" s="31"/>
    </row>
  </sheetData>
  <sheetProtection algorithmName="SHA-512" hashValue="bx4zaQOS1byUlKz6bLiZy+ufeH7F8Dy7lY8tomH2MbrCZ7nxQ7YhT6Nzjtn+6OX77qaMvs+R2bRgl2wKopMnrA==" saltValue="VFPmFDomjTm4S2YGCEGE/w==" spinCount="100000" sheet="1" objects="1" scenarios="1"/>
  <pageMargins left="0.25" right="0.25" top="0.75" bottom="0.75" header="0.3" footer="0.3"/>
  <pageSetup orientation="landscape" r:id="rId1"/>
  <headerFooter>
    <oddFooter>&amp;L&amp;Z&amp;F!&amp;A&amp;R&amp;D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How to Update Spreadsheet</vt:lpstr>
      <vt:lpstr>Inputs</vt:lpstr>
      <vt:lpstr>Withdrawal Liability</vt:lpstr>
      <vt:lpstr>Payment Schedule</vt:lpstr>
      <vt:lpstr>Factor Table</vt:lpstr>
      <vt:lpstr>'Factor Table'!Print_Area</vt:lpstr>
      <vt:lpstr>'How to Update Spreadsheet'!Print_Area</vt:lpstr>
      <vt:lpstr>Inputs!Print_Area</vt:lpstr>
      <vt:lpstr>'Payment Schedule'!Print_Area</vt:lpstr>
      <vt:lpstr>'Withdrawal Liability'!Print_Area</vt:lpstr>
      <vt:lpstr>Inputs!Print_Titles</vt:lpstr>
      <vt:lpstr>UnfundedPVVB</vt:lpstr>
      <vt:lpstr>WithdrawalYear</vt:lpstr>
    </vt:vector>
  </TitlesOfParts>
  <Company>The Segal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Giordano</dc:creator>
  <cp:lastModifiedBy>Dweck, Andrew</cp:lastModifiedBy>
  <cp:lastPrinted>2022-06-02T19:47:36Z</cp:lastPrinted>
  <dcterms:created xsi:type="dcterms:W3CDTF">2014-04-02T14:08:16Z</dcterms:created>
  <dcterms:modified xsi:type="dcterms:W3CDTF">2026-01-06T17:44:29Z</dcterms:modified>
</cp:coreProperties>
</file>